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codeName="ThisWorkbook" defaultThemeVersion="124226"/>
  <mc:AlternateContent xmlns:mc="http://schemas.openxmlformats.org/markup-compatibility/2006">
    <mc:Choice Requires="x15">
      <x15ac:absPath xmlns:x15ac="http://schemas.microsoft.com/office/spreadsheetml/2010/11/ac" url="\\Jsfil001\新共有フォルダ\01_各課専用フォルダ\040_市民生活課\02_国保年金担当\★☆★【共通事務】★☆★\01.国保算定表\過年度\"/>
    </mc:Choice>
  </mc:AlternateContent>
  <xr:revisionPtr revIDLastSave="0" documentId="8_{2605E8DE-9F4A-49DE-97FA-8DC154A336EB}" xr6:coauthVersionLast="36" xr6:coauthVersionMax="36" xr10:uidLastSave="{00000000-0000-0000-0000-000000000000}"/>
  <bookViews>
    <workbookView xWindow="0" yWindow="0" windowWidth="20160" windowHeight="6810" xr2:uid="{00000000-000D-0000-FFFF-FFFF00000000}"/>
  </bookViews>
  <sheets>
    <sheet name="令和6年度" sheetId="6" r:id="rId1"/>
    <sheet name="給与収入" sheetId="1" r:id="rId2"/>
    <sheet name="年金収入" sheetId="7" r:id="rId3"/>
    <sheet name="早読表" sheetId="5" r:id="rId4"/>
  </sheets>
  <definedNames>
    <definedName name="_xlnm.Print_Area" localSheetId="1">給与収入!$A$1:$I$25</definedName>
    <definedName name="_xlnm.Print_Area" localSheetId="0">令和6年度!$A$1:$M$53</definedName>
  </definedNames>
  <calcPr calcId="191029"/>
</workbook>
</file>

<file path=xl/calcChain.xml><?xml version="1.0" encoding="utf-8"?>
<calcChain xmlns="http://schemas.openxmlformats.org/spreadsheetml/2006/main">
  <c r="F15" i="1" l="1"/>
  <c r="J12" i="5"/>
  <c r="D33" i="6" l="1"/>
  <c r="D34" i="6" s="1"/>
  <c r="H9" i="6" l="1"/>
  <c r="I9" i="6" s="1"/>
  <c r="H10" i="6"/>
  <c r="I10" i="6" s="1"/>
  <c r="M18" i="6" l="1"/>
  <c r="G18" i="6"/>
  <c r="G23" i="6" l="1"/>
  <c r="J6" i="6" l="1"/>
  <c r="J7" i="6"/>
  <c r="J8" i="6"/>
  <c r="J9" i="6"/>
  <c r="J10" i="6"/>
  <c r="J11" i="6"/>
  <c r="J12" i="6"/>
  <c r="H11" i="6" l="1"/>
  <c r="I11" i="6" s="1"/>
  <c r="C31" i="5"/>
  <c r="C29" i="5"/>
  <c r="C27" i="5"/>
  <c r="C25" i="5"/>
  <c r="C23" i="5"/>
  <c r="C21" i="5"/>
  <c r="C19" i="5"/>
  <c r="C17" i="5"/>
  <c r="C15" i="5"/>
  <c r="C14" i="5"/>
  <c r="C30" i="5"/>
  <c r="C28" i="5"/>
  <c r="C26" i="5"/>
  <c r="C24" i="5"/>
  <c r="C22" i="5"/>
  <c r="C20" i="5"/>
  <c r="C18" i="5"/>
  <c r="C16" i="5"/>
  <c r="M6" i="6"/>
  <c r="M7" i="6"/>
  <c r="M8" i="6"/>
  <c r="M9" i="6"/>
  <c r="M10" i="6"/>
  <c r="M11" i="6"/>
  <c r="M12" i="6"/>
  <c r="H7" i="6" l="1"/>
  <c r="I7" i="6" s="1"/>
  <c r="H8" i="6"/>
  <c r="I8" i="6" s="1"/>
  <c r="H12" i="6"/>
  <c r="I12" i="6" s="1"/>
  <c r="H6" i="6"/>
  <c r="I6" i="6" s="1"/>
  <c r="L23" i="7" l="1"/>
  <c r="I23" i="7"/>
  <c r="F23" i="7"/>
  <c r="L22" i="7"/>
  <c r="I22" i="7"/>
  <c r="F22" i="7"/>
  <c r="L21" i="7"/>
  <c r="I21" i="7"/>
  <c r="F21" i="7"/>
  <c r="F20" i="7"/>
  <c r="L20" i="7"/>
  <c r="I20" i="7"/>
  <c r="L19" i="7"/>
  <c r="I19" i="7"/>
  <c r="F19" i="7"/>
  <c r="L14" i="7"/>
  <c r="L13" i="7"/>
  <c r="L12" i="7"/>
  <c r="L11" i="7"/>
  <c r="L10" i="7"/>
  <c r="I13" i="7"/>
  <c r="F14" i="7"/>
  <c r="F12" i="7"/>
  <c r="F13" i="7"/>
  <c r="I14" i="7"/>
  <c r="I12" i="7"/>
  <c r="I11" i="7"/>
  <c r="I10" i="7"/>
  <c r="F11" i="7"/>
  <c r="F10" i="7"/>
  <c r="F5" i="7" l="1"/>
  <c r="K6" i="6"/>
  <c r="K7" i="6"/>
  <c r="K8" i="6"/>
  <c r="K9" i="6"/>
  <c r="K10" i="6"/>
  <c r="K11" i="6"/>
  <c r="K12" i="6"/>
  <c r="M5" i="6" l="1"/>
  <c r="M19" i="6" s="1"/>
  <c r="F10" i="1"/>
  <c r="F24" i="1" l="1"/>
  <c r="F23" i="1" l="1"/>
  <c r="F22" i="1"/>
  <c r="F21" i="1"/>
  <c r="F20" i="1"/>
  <c r="F19" i="1"/>
  <c r="F18" i="1"/>
  <c r="F17" i="1"/>
  <c r="F16" i="1"/>
  <c r="L23" i="5" l="1"/>
  <c r="K23" i="5"/>
  <c r="J23" i="5"/>
  <c r="J24" i="5" s="1"/>
  <c r="L12" i="5"/>
  <c r="L16" i="5" s="1"/>
  <c r="J16" i="5"/>
  <c r="C35" i="6" l="1"/>
  <c r="C33" i="6"/>
  <c r="E18" i="6"/>
  <c r="L12" i="6"/>
  <c r="L11" i="6"/>
  <c r="L10" i="6"/>
  <c r="L9" i="6"/>
  <c r="L8" i="6"/>
  <c r="L7" i="6"/>
  <c r="L6" i="6"/>
  <c r="L5" i="6"/>
  <c r="C39" i="6" l="1"/>
  <c r="C40" i="6"/>
  <c r="C34" i="6"/>
  <c r="D40" i="6" s="1"/>
  <c r="E40" i="6"/>
  <c r="E39" i="6"/>
  <c r="K26" i="5"/>
  <c r="L26" i="5"/>
  <c r="J26" i="5"/>
  <c r="K25" i="5"/>
  <c r="L25" i="5"/>
  <c r="K24" i="5"/>
  <c r="L24" i="5"/>
  <c r="J25" i="5"/>
  <c r="L15" i="5"/>
  <c r="K15" i="5"/>
  <c r="J15" i="5"/>
  <c r="L14" i="5"/>
  <c r="K14" i="5"/>
  <c r="J14" i="5"/>
  <c r="L13" i="5"/>
  <c r="K13" i="5"/>
  <c r="J13" i="5"/>
  <c r="M23" i="5"/>
  <c r="L18" i="5"/>
  <c r="K12" i="5"/>
  <c r="K16" i="5" s="1"/>
  <c r="J17" i="5"/>
  <c r="E31" i="5"/>
  <c r="E30" i="5"/>
  <c r="F29" i="5"/>
  <c r="E28" i="5"/>
  <c r="E27" i="5"/>
  <c r="E26" i="5"/>
  <c r="F26" i="5"/>
  <c r="F25" i="5"/>
  <c r="E24" i="5"/>
  <c r="E23" i="5"/>
  <c r="F22" i="5"/>
  <c r="F21" i="5"/>
  <c r="E20" i="5"/>
  <c r="E19" i="5"/>
  <c r="D18" i="5"/>
  <c r="F17" i="5"/>
  <c r="E16" i="5"/>
  <c r="D15" i="5"/>
  <c r="F13" i="5"/>
  <c r="E13" i="5"/>
  <c r="D13" i="5"/>
  <c r="F12" i="5"/>
  <c r="E12" i="5"/>
  <c r="D12" i="5"/>
  <c r="E17" i="5" l="1"/>
  <c r="D22" i="5"/>
  <c r="E25" i="5"/>
  <c r="D30" i="5"/>
  <c r="D16" i="5"/>
  <c r="E14" i="5"/>
  <c r="D14" i="5"/>
  <c r="M25" i="5"/>
  <c r="F14" i="5"/>
  <c r="E22" i="5"/>
  <c r="G22" i="5" s="1"/>
  <c r="D24" i="5"/>
  <c r="F28" i="5"/>
  <c r="F24" i="5"/>
  <c r="M14" i="5"/>
  <c r="F20" i="5"/>
  <c r="M12" i="5"/>
  <c r="L17" i="5"/>
  <c r="K18" i="5"/>
  <c r="E18" i="5"/>
  <c r="F16" i="5"/>
  <c r="F18" i="5"/>
  <c r="E21" i="5"/>
  <c r="D26" i="5"/>
  <c r="G26" i="5" s="1"/>
  <c r="D28" i="5"/>
  <c r="F30" i="5"/>
  <c r="M15" i="5"/>
  <c r="K17" i="5"/>
  <c r="J18" i="5"/>
  <c r="D20" i="5"/>
  <c r="E29" i="5"/>
  <c r="M13" i="5"/>
  <c r="G13" i="5"/>
  <c r="G12" i="5"/>
  <c r="D39" i="6"/>
  <c r="M26" i="5"/>
  <c r="M24" i="5"/>
  <c r="E15" i="5"/>
  <c r="F15" i="5"/>
  <c r="D17" i="5"/>
  <c r="G17" i="5" s="1"/>
  <c r="F19" i="5"/>
  <c r="D21" i="5"/>
  <c r="F23" i="5"/>
  <c r="D25" i="5"/>
  <c r="F27" i="5"/>
  <c r="D29" i="5"/>
  <c r="F31" i="5"/>
  <c r="D19" i="5"/>
  <c r="D23" i="5"/>
  <c r="D27" i="5"/>
  <c r="D31" i="5"/>
  <c r="G25" i="5" l="1"/>
  <c r="G18" i="5"/>
  <c r="G28" i="5"/>
  <c r="G16" i="5"/>
  <c r="G21" i="5"/>
  <c r="G30" i="5"/>
  <c r="G14" i="5"/>
  <c r="G24" i="5"/>
  <c r="G20" i="5"/>
  <c r="M17" i="5"/>
  <c r="M16" i="5"/>
  <c r="G29" i="5"/>
  <c r="G23" i="5"/>
  <c r="M18" i="5"/>
  <c r="G31" i="5"/>
  <c r="G27" i="5"/>
  <c r="G15" i="5"/>
  <c r="G19" i="5"/>
  <c r="F14" i="1" l="1"/>
  <c r="H11" i="1"/>
  <c r="F3" i="1" l="1"/>
  <c r="C15" i="6" l="1"/>
  <c r="J5" i="6"/>
  <c r="H5" i="6"/>
  <c r="I5" i="6" s="1"/>
  <c r="C22" i="6" s="1"/>
  <c r="C23" i="6" s="1"/>
  <c r="K5" i="6" l="1"/>
  <c r="C41" i="6" l="1"/>
  <c r="D42" i="6"/>
  <c r="C42" i="6"/>
  <c r="E41" i="6"/>
  <c r="D43" i="6"/>
  <c r="E43" i="6"/>
  <c r="C43" i="6"/>
  <c r="D41" i="6"/>
  <c r="E33" i="6"/>
  <c r="E35" i="6"/>
  <c r="E38" i="6" s="1"/>
  <c r="E34" i="6" l="1"/>
  <c r="D38" i="6" s="1"/>
  <c r="C38" i="6"/>
  <c r="E44" i="6"/>
  <c r="E45" i="6" s="1"/>
  <c r="C44" i="6" l="1"/>
  <c r="C45" i="6" s="1"/>
  <c r="D44" i="6"/>
  <c r="D45" i="6" s="1"/>
  <c r="F49" i="6" l="1"/>
  <c r="F51" i="6"/>
  <c r="F47"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竹内 優希</author>
  </authors>
  <commentList>
    <comment ref="E5" authorId="0" shapeId="0" xr:uid="{00000000-0006-0000-0000-000001000000}">
      <text>
        <r>
          <rPr>
            <sz val="9"/>
            <color indexed="81"/>
            <rFont val="メイリオ"/>
            <family val="3"/>
            <charset val="128"/>
          </rPr>
          <t xml:space="preserve">資料記載の給与所得はすでに調整控除がされており、そのまま入力すると二重に控除されてしまうことがあります。
</t>
        </r>
        <r>
          <rPr>
            <b/>
            <u/>
            <sz val="9"/>
            <color indexed="81"/>
            <rFont val="メイリオ"/>
            <family val="3"/>
            <charset val="128"/>
          </rPr>
          <t>「給与収入」のシートで、収入から計算した所得を入力するようにしてください。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細川　雅弥</author>
  </authors>
  <commentList>
    <comment ref="F2" authorId="0" shapeId="0" xr:uid="{00000000-0006-0000-0100-000001000000}">
      <text>
        <r>
          <rPr>
            <b/>
            <sz val="16"/>
            <color indexed="81"/>
            <rFont val="ＭＳ Ｐゴシック"/>
            <family val="3"/>
            <charset val="128"/>
          </rPr>
          <t>ここに収入金額を入力してください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細川　雅弥</author>
  </authors>
  <commentList>
    <comment ref="F2" authorId="0" shapeId="0" xr:uid="{00000000-0006-0000-0200-000001000000}">
      <text>
        <r>
          <rPr>
            <b/>
            <sz val="16"/>
            <color indexed="81"/>
            <rFont val="ＭＳ Ｐゴシック"/>
            <family val="3"/>
            <charset val="128"/>
          </rPr>
          <t>ここに収入金額を入力してください</t>
        </r>
      </text>
    </comment>
    <comment ref="F3" authorId="0" shapeId="0" xr:uid="{00000000-0006-0000-0200-000002000000}">
      <text>
        <r>
          <rPr>
            <b/>
            <sz val="16"/>
            <color indexed="81"/>
            <rFont val="ＭＳ Ｐゴシック"/>
            <family val="3"/>
            <charset val="128"/>
          </rPr>
          <t>ここに年齢を入力してください</t>
        </r>
      </text>
    </comment>
  </commentList>
</comments>
</file>

<file path=xl/sharedStrings.xml><?xml version="1.0" encoding="utf-8"?>
<sst xmlns="http://schemas.openxmlformats.org/spreadsheetml/2006/main" count="274" uniqueCount="136">
  <si>
    <t>給与等の収入金額</t>
    <rPh sb="0" eb="2">
      <t>キュウヨ</t>
    </rPh>
    <rPh sb="2" eb="3">
      <t>トウ</t>
    </rPh>
    <rPh sb="4" eb="6">
      <t>シュウニュウ</t>
    </rPh>
    <rPh sb="6" eb="8">
      <t>キンガク</t>
    </rPh>
    <phoneticPr fontId="1"/>
  </si>
  <si>
    <t>円</t>
    <rPh sb="0" eb="1">
      <t>エン</t>
    </rPh>
    <phoneticPr fontId="1"/>
  </si>
  <si>
    <t>～</t>
    <phoneticPr fontId="1"/>
  </si>
  <si>
    <t>①</t>
    <phoneticPr fontId="1"/>
  </si>
  <si>
    <t>①　の　金　額</t>
    <rPh sb="4" eb="5">
      <t>キン</t>
    </rPh>
    <rPh sb="6" eb="7">
      <t>ガク</t>
    </rPh>
    <phoneticPr fontId="1"/>
  </si>
  <si>
    <t>給与所得の金額</t>
    <rPh sb="0" eb="2">
      <t>キュウヨ</t>
    </rPh>
    <rPh sb="2" eb="4">
      <t>ショトク</t>
    </rPh>
    <rPh sb="5" eb="7">
      <t>キンガク</t>
    </rPh>
    <phoneticPr fontId="1"/>
  </si>
  <si>
    <t>算出方法</t>
    <rPh sb="0" eb="2">
      <t>サンシュツ</t>
    </rPh>
    <rPh sb="2" eb="4">
      <t>ホウホウ</t>
    </rPh>
    <phoneticPr fontId="1"/>
  </si>
  <si>
    <t>0円</t>
    <rPh sb="1" eb="2">
      <t>エン</t>
    </rPh>
    <phoneticPr fontId="1"/>
  </si>
  <si>
    <t>公的年金等の収入金額</t>
    <rPh sb="0" eb="2">
      <t>コウテキ</t>
    </rPh>
    <rPh sb="2" eb="5">
      <t>ネンキントウ</t>
    </rPh>
    <rPh sb="6" eb="8">
      <t>シュウニュウ</t>
    </rPh>
    <rPh sb="8" eb="10">
      <t>キンガク</t>
    </rPh>
    <phoneticPr fontId="1"/>
  </si>
  <si>
    <t>雑所得の金額</t>
    <rPh sb="0" eb="1">
      <t>ザツ</t>
    </rPh>
    <rPh sb="1" eb="3">
      <t>ショトク</t>
    </rPh>
    <rPh sb="4" eb="6">
      <t>キンガク</t>
    </rPh>
    <phoneticPr fontId="1"/>
  </si>
  <si>
    <t>65歳以上の方の計算</t>
    <rPh sb="2" eb="5">
      <t>サイイジョウ</t>
    </rPh>
    <rPh sb="6" eb="7">
      <t>カタ</t>
    </rPh>
    <rPh sb="8" eb="10">
      <t>ケイサン</t>
    </rPh>
    <phoneticPr fontId="1"/>
  </si>
  <si>
    <t>歳</t>
    <rPh sb="0" eb="1">
      <t>サイ</t>
    </rPh>
    <phoneticPr fontId="1"/>
  </si>
  <si>
    <t>その年の１２月３１日時点の年齢</t>
    <rPh sb="2" eb="3">
      <t>トシ</t>
    </rPh>
    <rPh sb="6" eb="7">
      <t>ガツ</t>
    </rPh>
    <rPh sb="9" eb="10">
      <t>ニチ</t>
    </rPh>
    <rPh sb="10" eb="12">
      <t>ジテン</t>
    </rPh>
    <rPh sb="13" eb="15">
      <t>ネンレイ</t>
    </rPh>
    <phoneticPr fontId="1"/>
  </si>
  <si>
    <t>氏名</t>
    <rPh sb="0" eb="2">
      <t>シメイ</t>
    </rPh>
    <phoneticPr fontId="5"/>
  </si>
  <si>
    <t>年齢</t>
    <rPh sb="0" eb="2">
      <t>ネンレイ</t>
    </rPh>
    <phoneticPr fontId="5"/>
  </si>
  <si>
    <t>基準総所得</t>
    <rPh sb="0" eb="2">
      <t>キジュン</t>
    </rPh>
    <rPh sb="2" eb="5">
      <t>ソウショトク</t>
    </rPh>
    <phoneticPr fontId="5"/>
  </si>
  <si>
    <t>介護該当</t>
    <rPh sb="0" eb="2">
      <t>カイゴ</t>
    </rPh>
    <rPh sb="2" eb="4">
      <t>ガイトウ</t>
    </rPh>
    <phoneticPr fontId="5"/>
  </si>
  <si>
    <t>世帯主が国民健康保険に加入しますか？（１＝はい、2＝いいえ）</t>
    <rPh sb="0" eb="3">
      <t>セタイヌシ</t>
    </rPh>
    <rPh sb="4" eb="10">
      <t>コクホ</t>
    </rPh>
    <rPh sb="11" eb="13">
      <t>カニュウ</t>
    </rPh>
    <phoneticPr fontId="5"/>
  </si>
  <si>
    <t>Q3</t>
    <phoneticPr fontId="5"/>
  </si>
  <si>
    <t>【算定結果】</t>
    <rPh sb="1" eb="3">
      <t>サンテイ</t>
    </rPh>
    <rPh sb="3" eb="5">
      <t>ケッカ</t>
    </rPh>
    <phoneticPr fontId="5"/>
  </si>
  <si>
    <t>被保険者数</t>
    <rPh sb="0" eb="4">
      <t>ヒホケンシャ</t>
    </rPh>
    <rPh sb="4" eb="5">
      <t>スウ</t>
    </rPh>
    <phoneticPr fontId="5"/>
  </si>
  <si>
    <t>課税対象所得</t>
    <rPh sb="0" eb="2">
      <t>カゼイ</t>
    </rPh>
    <rPh sb="2" eb="4">
      <t>タイショウ</t>
    </rPh>
    <rPh sb="4" eb="6">
      <t>ショトク</t>
    </rPh>
    <phoneticPr fontId="5"/>
  </si>
  <si>
    <t>医療分</t>
    <rPh sb="0" eb="2">
      <t>イリョウ</t>
    </rPh>
    <rPh sb="2" eb="3">
      <t>ブン</t>
    </rPh>
    <phoneticPr fontId="5"/>
  </si>
  <si>
    <t>後期分</t>
    <rPh sb="0" eb="2">
      <t>コウキ</t>
    </rPh>
    <rPh sb="2" eb="3">
      <t>ブン</t>
    </rPh>
    <phoneticPr fontId="5"/>
  </si>
  <si>
    <t>介護分</t>
    <rPh sb="0" eb="2">
      <t>カイゴ</t>
    </rPh>
    <rPh sb="2" eb="3">
      <t>ブン</t>
    </rPh>
    <phoneticPr fontId="5"/>
  </si>
  <si>
    <t>軽減判定</t>
    <rPh sb="0" eb="2">
      <t>ケイゲン</t>
    </rPh>
    <rPh sb="2" eb="4">
      <t>ハンテイ</t>
    </rPh>
    <phoneticPr fontId="5"/>
  </si>
  <si>
    <t>税率</t>
    <rPh sb="0" eb="2">
      <t>ゼイリツ</t>
    </rPh>
    <phoneticPr fontId="5"/>
  </si>
  <si>
    <t>区分</t>
    <rPh sb="0" eb="2">
      <t>クブン</t>
    </rPh>
    <phoneticPr fontId="5"/>
  </si>
  <si>
    <t>所得割</t>
    <rPh sb="0" eb="2">
      <t>ショトク</t>
    </rPh>
    <rPh sb="2" eb="3">
      <t>ワリ</t>
    </rPh>
    <phoneticPr fontId="5"/>
  </si>
  <si>
    <t>均等割</t>
    <rPh sb="0" eb="3">
      <t>キントウワ</t>
    </rPh>
    <phoneticPr fontId="5"/>
  </si>
  <si>
    <t>平等割</t>
    <rPh sb="0" eb="2">
      <t>ビョウドウ</t>
    </rPh>
    <rPh sb="2" eb="3">
      <t>ワリ</t>
    </rPh>
    <phoneticPr fontId="5"/>
  </si>
  <si>
    <t>均等割軽減額</t>
    <rPh sb="0" eb="3">
      <t>キントウワ</t>
    </rPh>
    <rPh sb="3" eb="5">
      <t>ケイゲン</t>
    </rPh>
    <rPh sb="5" eb="6">
      <t>ガク</t>
    </rPh>
    <phoneticPr fontId="5"/>
  </si>
  <si>
    <t>課税限度額</t>
    <rPh sb="0" eb="2">
      <t>カゼイ</t>
    </rPh>
    <rPh sb="2" eb="4">
      <t>ゲンド</t>
    </rPh>
    <rPh sb="4" eb="5">
      <t>ガク</t>
    </rPh>
    <phoneticPr fontId="5"/>
  </si>
  <si>
    <t>平等割軽減額</t>
    <rPh sb="0" eb="2">
      <t>ビョウドウ</t>
    </rPh>
    <rPh sb="2" eb="3">
      <t>ワリ</t>
    </rPh>
    <rPh sb="3" eb="5">
      <t>ケイゲン</t>
    </rPh>
    <rPh sb="5" eb="6">
      <t>ガク</t>
    </rPh>
    <phoneticPr fontId="5"/>
  </si>
  <si>
    <t>限度超過額</t>
    <rPh sb="0" eb="2">
      <t>ゲンド</t>
    </rPh>
    <rPh sb="2" eb="5">
      <t>チョウカガク</t>
    </rPh>
    <phoneticPr fontId="5"/>
  </si>
  <si>
    <t>算定額</t>
    <rPh sb="0" eb="2">
      <t>サンテイ</t>
    </rPh>
    <rPh sb="2" eb="3">
      <t>ガク</t>
    </rPh>
    <phoneticPr fontId="5"/>
  </si>
  <si>
    <t>あなたの世帯の１年間の保険税額は</t>
    <rPh sb="14" eb="15">
      <t>ガク</t>
    </rPh>
    <phoneticPr fontId="5"/>
  </si>
  <si>
    <t>円です。</t>
    <rPh sb="0" eb="1">
      <t>エン</t>
    </rPh>
    <phoneticPr fontId="5"/>
  </si>
  <si>
    <t>1期あたりの保険税額は、約</t>
    <rPh sb="1" eb="2">
      <t>キ</t>
    </rPh>
    <phoneticPr fontId="5"/>
  </si>
  <si>
    <t>Q1</t>
    <phoneticPr fontId="5"/>
  </si>
  <si>
    <t>Q2</t>
    <phoneticPr fontId="5"/>
  </si>
  <si>
    <r>
      <t>世帯主が国民健康保険に加入しない場合には、</t>
    </r>
    <r>
      <rPr>
        <b/>
        <sz val="12"/>
        <color indexed="8"/>
        <rFont val="HGS創英角ｺﾞｼｯｸUB"/>
        <family val="3"/>
        <charset val="128"/>
      </rPr>
      <t>「</t>
    </r>
    <r>
      <rPr>
        <b/>
        <sz val="16"/>
        <color indexed="8"/>
        <rFont val="HGS創英角ｺﾞｼｯｸUB"/>
        <family val="3"/>
        <charset val="128"/>
      </rPr>
      <t>世帯主の所得」</t>
    </r>
    <r>
      <rPr>
        <sz val="12"/>
        <color indexed="8"/>
        <rFont val="HGS創英角ｺﾞｼｯｸUB"/>
        <family val="3"/>
        <charset val="128"/>
      </rPr>
      <t>を入力してください。</t>
    </r>
    <rPh sb="0" eb="3">
      <t>セタイヌシ</t>
    </rPh>
    <rPh sb="4" eb="10">
      <t>コクホ</t>
    </rPh>
    <rPh sb="11" eb="13">
      <t>カニュウ</t>
    </rPh>
    <rPh sb="16" eb="18">
      <t>バアイ</t>
    </rPh>
    <rPh sb="22" eb="25">
      <t>セタイヌシ</t>
    </rPh>
    <rPh sb="26" eb="28">
      <t>ショトク</t>
    </rPh>
    <rPh sb="30" eb="32">
      <t>ニュウリョク</t>
    </rPh>
    <phoneticPr fontId="5"/>
  </si>
  <si>
    <t>所得金額</t>
    <rPh sb="0" eb="2">
      <t>ショトク</t>
    </rPh>
    <rPh sb="2" eb="4">
      <t>キンガク</t>
    </rPh>
    <phoneticPr fontId="5"/>
  </si>
  <si>
    <t>軽減基準所得</t>
    <rPh sb="0" eb="2">
      <t>ケイゲン</t>
    </rPh>
    <rPh sb="2" eb="4">
      <t>キジュン</t>
    </rPh>
    <rPh sb="4" eb="6">
      <t>ショトク</t>
    </rPh>
    <phoneticPr fontId="5"/>
  </si>
  <si>
    <t>軽減割合</t>
    <rPh sb="0" eb="2">
      <t>ケイゲン</t>
    </rPh>
    <rPh sb="2" eb="4">
      <t>ワリアイ</t>
    </rPh>
    <phoneticPr fontId="5"/>
  </si>
  <si>
    <t>前年中の世帯総所得金額等（世帯主と国保加入者の所得の合計額）</t>
    <rPh sb="0" eb="2">
      <t>ゼンネン</t>
    </rPh>
    <rPh sb="2" eb="3">
      <t>チュウ</t>
    </rPh>
    <rPh sb="4" eb="6">
      <t>セタイ</t>
    </rPh>
    <rPh sb="6" eb="9">
      <t>ソウショトク</t>
    </rPh>
    <rPh sb="9" eb="11">
      <t>キンガク</t>
    </rPh>
    <rPh sb="11" eb="12">
      <t>トウ</t>
    </rPh>
    <rPh sb="13" eb="16">
      <t>セタイヌシ</t>
    </rPh>
    <rPh sb="17" eb="19">
      <t>コクホ</t>
    </rPh>
    <rPh sb="19" eb="22">
      <t>カニュウシャ</t>
    </rPh>
    <rPh sb="23" eb="25">
      <t>ショトク</t>
    </rPh>
    <rPh sb="26" eb="28">
      <t>ゴウケイ</t>
    </rPh>
    <rPh sb="28" eb="29">
      <t>ガク</t>
    </rPh>
    <phoneticPr fontId="5"/>
  </si>
  <si>
    <t>７割軽減</t>
    <rPh sb="1" eb="2">
      <t>ワ</t>
    </rPh>
    <rPh sb="2" eb="4">
      <t>ケイゲン</t>
    </rPh>
    <phoneticPr fontId="5"/>
  </si>
  <si>
    <t>５割軽減</t>
    <rPh sb="1" eb="2">
      <t>ワリ</t>
    </rPh>
    <rPh sb="2" eb="4">
      <t>ケイゲン</t>
    </rPh>
    <phoneticPr fontId="5"/>
  </si>
  <si>
    <t>２割軽減</t>
    <rPh sb="1" eb="2">
      <t>ワリ</t>
    </rPh>
    <rPh sb="2" eb="4">
      <t>ケイゲン</t>
    </rPh>
    <phoneticPr fontId="5"/>
  </si>
  <si>
    <t>1ヶ月あたりの保険税額は、約</t>
    <phoneticPr fontId="5"/>
  </si>
  <si>
    <t>保険税額は、7月から翌年2月までの8期で納めていただきますので、</t>
    <phoneticPr fontId="5"/>
  </si>
  <si>
    <t>支援金分</t>
    <rPh sb="0" eb="3">
      <t>シエンキン</t>
    </rPh>
    <rPh sb="3" eb="4">
      <t>ブン</t>
    </rPh>
    <phoneticPr fontId="5"/>
  </si>
  <si>
    <t>所得割</t>
    <rPh sb="0" eb="2">
      <t>ショトク</t>
    </rPh>
    <rPh sb="2" eb="3">
      <t>ワリ</t>
    </rPh>
    <phoneticPr fontId="1"/>
  </si>
  <si>
    <t>均等割</t>
    <rPh sb="0" eb="3">
      <t>キントウワリ</t>
    </rPh>
    <phoneticPr fontId="1"/>
  </si>
  <si>
    <t>平等割</t>
    <rPh sb="0" eb="2">
      <t>ビョウドウ</t>
    </rPh>
    <rPh sb="2" eb="3">
      <t>ワリ</t>
    </rPh>
    <phoneticPr fontId="1"/>
  </si>
  <si>
    <t>給与収入の場合</t>
    <rPh sb="0" eb="2">
      <t>キュウヨ</t>
    </rPh>
    <rPh sb="2" eb="4">
      <t>シュウニュウ</t>
    </rPh>
    <rPh sb="5" eb="7">
      <t>バアイ</t>
    </rPh>
    <phoneticPr fontId="1"/>
  </si>
  <si>
    <t>【①所得割】</t>
    <rPh sb="2" eb="4">
      <t>ショトク</t>
    </rPh>
    <rPh sb="4" eb="5">
      <t>ワリ</t>
    </rPh>
    <phoneticPr fontId="1"/>
  </si>
  <si>
    <t>収入金額</t>
    <rPh sb="0" eb="2">
      <t>シュウニュウ</t>
    </rPh>
    <rPh sb="2" eb="3">
      <t>キン</t>
    </rPh>
    <rPh sb="3" eb="4">
      <t>ガク</t>
    </rPh>
    <phoneticPr fontId="1"/>
  </si>
  <si>
    <t>所得金額</t>
    <rPh sb="0" eb="2">
      <t>ショトク</t>
    </rPh>
    <rPh sb="2" eb="3">
      <t>キン</t>
    </rPh>
    <rPh sb="3" eb="4">
      <t>ガク</t>
    </rPh>
    <phoneticPr fontId="1"/>
  </si>
  <si>
    <t>基準総所得金額</t>
    <rPh sb="0" eb="2">
      <t>キジュン</t>
    </rPh>
    <rPh sb="2" eb="5">
      <t>ソウショトク</t>
    </rPh>
    <rPh sb="5" eb="7">
      <t>キンガク</t>
    </rPh>
    <phoneticPr fontId="1"/>
  </si>
  <si>
    <t>保　険　税　額</t>
    <rPh sb="0" eb="1">
      <t>ホ</t>
    </rPh>
    <rPh sb="2" eb="3">
      <t>ケン</t>
    </rPh>
    <rPh sb="4" eb="5">
      <t>ゼイ</t>
    </rPh>
    <rPh sb="6" eb="7">
      <t>ガク</t>
    </rPh>
    <phoneticPr fontId="1"/>
  </si>
  <si>
    <t>医療分</t>
    <rPh sb="0" eb="2">
      <t>イリョウ</t>
    </rPh>
    <rPh sb="2" eb="3">
      <t>ブン</t>
    </rPh>
    <phoneticPr fontId="1"/>
  </si>
  <si>
    <t>支援金分</t>
    <rPh sb="0" eb="3">
      <t>シエンキン</t>
    </rPh>
    <rPh sb="3" eb="4">
      <t>ブン</t>
    </rPh>
    <phoneticPr fontId="1"/>
  </si>
  <si>
    <r>
      <t xml:space="preserve">介護分
</t>
    </r>
    <r>
      <rPr>
        <sz val="11"/>
        <color theme="1"/>
        <rFont val="メイリオ"/>
        <family val="3"/>
        <charset val="128"/>
      </rPr>
      <t>（40～64歳）</t>
    </r>
    <rPh sb="0" eb="2">
      <t>カイゴ</t>
    </rPh>
    <rPh sb="2" eb="3">
      <t>ブン</t>
    </rPh>
    <rPh sb="10" eb="11">
      <t>サイ</t>
    </rPh>
    <phoneticPr fontId="1"/>
  </si>
  <si>
    <t>合計</t>
    <rPh sb="0" eb="2">
      <t>ゴウケイ</t>
    </rPh>
    <phoneticPr fontId="1"/>
  </si>
  <si>
    <t>被保険者数</t>
    <rPh sb="0" eb="4">
      <t>ヒホケンシャ</t>
    </rPh>
    <rPh sb="4" eb="5">
      <t>スウ</t>
    </rPh>
    <phoneticPr fontId="1"/>
  </si>
  <si>
    <t>1世帯あたり</t>
    <rPh sb="1" eb="3">
      <t>セタイ</t>
    </rPh>
    <phoneticPr fontId="1"/>
  </si>
  <si>
    <t>７割軽減</t>
    <rPh sb="1" eb="2">
      <t>ワ</t>
    </rPh>
    <rPh sb="2" eb="4">
      <t>ケイゲン</t>
    </rPh>
    <phoneticPr fontId="1"/>
  </si>
  <si>
    <t>５割軽減</t>
    <rPh sb="1" eb="2">
      <t>ワリ</t>
    </rPh>
    <rPh sb="2" eb="4">
      <t>ケイゲン</t>
    </rPh>
    <phoneticPr fontId="1"/>
  </si>
  <si>
    <t>２割軽減</t>
    <rPh sb="1" eb="2">
      <t>ワリ</t>
    </rPh>
    <rPh sb="2" eb="4">
      <t>ケイゲン</t>
    </rPh>
    <phoneticPr fontId="1"/>
  </si>
  <si>
    <t>国民健康保険加入者の「氏名」・「年齢」・「所得金額」を個別に入力してください。</t>
    <rPh sb="0" eb="6">
      <t>コクホ</t>
    </rPh>
    <rPh sb="6" eb="9">
      <t>カニュウシャ</t>
    </rPh>
    <rPh sb="11" eb="13">
      <t>シメイ</t>
    </rPh>
    <rPh sb="16" eb="18">
      <t>ネンレイ</t>
    </rPh>
    <rPh sb="21" eb="23">
      <t>ショトク</t>
    </rPh>
    <rPh sb="23" eb="24">
      <t>キン</t>
    </rPh>
    <rPh sb="24" eb="25">
      <t>ガク</t>
    </rPh>
    <rPh sb="27" eb="29">
      <t>コベツ</t>
    </rPh>
    <rPh sb="30" eb="32">
      <t>ニュウリョク</t>
    </rPh>
    <phoneticPr fontId="5"/>
  </si>
  <si>
    <t>【②均等割】</t>
    <rPh sb="2" eb="5">
      <t>キントウワ</t>
    </rPh>
    <phoneticPr fontId="1"/>
  </si>
  <si>
    <t>【③平等割】</t>
    <rPh sb="2" eb="4">
      <t>ビョウドウ</t>
    </rPh>
    <rPh sb="4" eb="5">
      <t>ワリ</t>
    </rPh>
    <phoneticPr fontId="1"/>
  </si>
  <si>
    <t>①－550,000円</t>
    <rPh sb="9" eb="10">
      <t>エン</t>
    </rPh>
    <phoneticPr fontId="1"/>
  </si>
  <si>
    <t>1,069,000円</t>
    <rPh sb="9" eb="10">
      <t>エン</t>
    </rPh>
    <phoneticPr fontId="1"/>
  </si>
  <si>
    <t>1,070,000円</t>
    <rPh sb="9" eb="10">
      <t>エン</t>
    </rPh>
    <phoneticPr fontId="1"/>
  </si>
  <si>
    <t>1,072,000円</t>
    <rPh sb="9" eb="10">
      <t>エン</t>
    </rPh>
    <phoneticPr fontId="1"/>
  </si>
  <si>
    <t>1,074,000円</t>
    <rPh sb="9" eb="10">
      <t>エン</t>
    </rPh>
    <phoneticPr fontId="1"/>
  </si>
  <si>
    <t>①÷4（千円未満の端数切捨て）×2.4＋100,000円</t>
    <rPh sb="4" eb="6">
      <t>センエン</t>
    </rPh>
    <rPh sb="6" eb="8">
      <t>ミマン</t>
    </rPh>
    <rPh sb="9" eb="11">
      <t>ハスウ</t>
    </rPh>
    <rPh sb="11" eb="13">
      <t>キリス</t>
    </rPh>
    <rPh sb="27" eb="28">
      <t>エン</t>
    </rPh>
    <phoneticPr fontId="1"/>
  </si>
  <si>
    <t>①÷4（千円未満の端数切捨て）×2.8－80,000円</t>
    <rPh sb="4" eb="6">
      <t>センエン</t>
    </rPh>
    <rPh sb="6" eb="8">
      <t>ミマン</t>
    </rPh>
    <rPh sb="9" eb="11">
      <t>ハスウ</t>
    </rPh>
    <rPh sb="11" eb="13">
      <t>キリス</t>
    </rPh>
    <rPh sb="26" eb="27">
      <t>エン</t>
    </rPh>
    <phoneticPr fontId="1"/>
  </si>
  <si>
    <t>①÷4（千円未満の端数切捨て）×3.2－440,000円</t>
    <rPh sb="4" eb="6">
      <t>センエン</t>
    </rPh>
    <rPh sb="6" eb="8">
      <t>ミマン</t>
    </rPh>
    <rPh sb="9" eb="11">
      <t>ハスウ</t>
    </rPh>
    <rPh sb="11" eb="13">
      <t>キリス</t>
    </rPh>
    <rPh sb="27" eb="28">
      <t>エン</t>
    </rPh>
    <phoneticPr fontId="1"/>
  </si>
  <si>
    <t>①×0.9－1,100,000円</t>
    <rPh sb="15" eb="16">
      <t>エン</t>
    </rPh>
    <phoneticPr fontId="1"/>
  </si>
  <si>
    <t>①－1,950,000円</t>
    <rPh sb="11" eb="12">
      <t>エン</t>
    </rPh>
    <phoneticPr fontId="1"/>
  </si>
  <si>
    <t>所得金額調整控除</t>
    <rPh sb="0" eb="2">
      <t>ショトク</t>
    </rPh>
    <rPh sb="2" eb="4">
      <t>キンガク</t>
    </rPh>
    <rPh sb="4" eb="6">
      <t>チョウセイ</t>
    </rPh>
    <rPh sb="6" eb="8">
      <t>コウジョ</t>
    </rPh>
    <phoneticPr fontId="1"/>
  </si>
  <si>
    <t>22歳以下の扶養親族を有する</t>
    <rPh sb="2" eb="3">
      <t>サイ</t>
    </rPh>
    <rPh sb="3" eb="5">
      <t>イカ</t>
    </rPh>
    <rPh sb="6" eb="8">
      <t>フヨウ</t>
    </rPh>
    <rPh sb="8" eb="10">
      <t>シンゾク</t>
    </rPh>
    <rPh sb="11" eb="12">
      <t>ユウ</t>
    </rPh>
    <phoneticPr fontId="1"/>
  </si>
  <si>
    <t>特別障害者である同一生計配偶者を有する</t>
    <rPh sb="0" eb="2">
      <t>トクベツ</t>
    </rPh>
    <rPh sb="2" eb="5">
      <t>ショウガイシャ</t>
    </rPh>
    <rPh sb="8" eb="10">
      <t>ドウイツ</t>
    </rPh>
    <rPh sb="10" eb="12">
      <t>セイケイ</t>
    </rPh>
    <rPh sb="12" eb="15">
      <t>ハイグウシャ</t>
    </rPh>
    <rPh sb="16" eb="17">
      <t>ユウ</t>
    </rPh>
    <phoneticPr fontId="1"/>
  </si>
  <si>
    <t>特別障害者である扶養親族を有する</t>
    <rPh sb="0" eb="2">
      <t>トクベツ</t>
    </rPh>
    <rPh sb="2" eb="5">
      <t>ショウガイシャ</t>
    </rPh>
    <rPh sb="8" eb="10">
      <t>フヨウ</t>
    </rPh>
    <rPh sb="10" eb="12">
      <t>シンゾク</t>
    </rPh>
    <rPh sb="13" eb="14">
      <t>ユウ</t>
    </rPh>
    <phoneticPr fontId="1"/>
  </si>
  <si>
    <t>（給与等の収入金額－850万円）×0.1</t>
    <rPh sb="1" eb="3">
      <t>キュウヨ</t>
    </rPh>
    <rPh sb="3" eb="4">
      <t>トウ</t>
    </rPh>
    <rPh sb="5" eb="7">
      <t>シュウニュウ</t>
    </rPh>
    <rPh sb="7" eb="9">
      <t>キンガク</t>
    </rPh>
    <rPh sb="13" eb="15">
      <t>マンエン</t>
    </rPh>
    <phoneticPr fontId="1"/>
  </si>
  <si>
    <t>所得額</t>
    <rPh sb="0" eb="2">
      <t>ショトク</t>
    </rPh>
    <rPh sb="2" eb="3">
      <t>ガク</t>
    </rPh>
    <phoneticPr fontId="1"/>
  </si>
  <si>
    <t>①－600,000円</t>
    <rPh sb="9" eb="10">
      <t>エン</t>
    </rPh>
    <phoneticPr fontId="1"/>
  </si>
  <si>
    <t>①×0.75－275,000円</t>
    <rPh sb="14" eb="15">
      <t>エン</t>
    </rPh>
    <phoneticPr fontId="1"/>
  </si>
  <si>
    <t>①×0.85－685,000円</t>
    <rPh sb="14" eb="15">
      <t>エン</t>
    </rPh>
    <phoneticPr fontId="1"/>
  </si>
  <si>
    <t>①×0.95－1,455,000円</t>
    <rPh sb="16" eb="17">
      <t>エン</t>
    </rPh>
    <phoneticPr fontId="1"/>
  </si>
  <si>
    <t>①－1,955,000円</t>
    <rPh sb="11" eb="12">
      <t>エン</t>
    </rPh>
    <phoneticPr fontId="1"/>
  </si>
  <si>
    <t>円</t>
    <rPh sb="0" eb="1">
      <t>エン</t>
    </rPh>
    <phoneticPr fontId="1"/>
  </si>
  <si>
    <t>所得金額調整控除額計算（年収850万超の場合のみお答えください）</t>
    <rPh sb="0" eb="2">
      <t>ショトク</t>
    </rPh>
    <rPh sb="2" eb="4">
      <t>キンガク</t>
    </rPh>
    <rPh sb="4" eb="6">
      <t>チョウセイ</t>
    </rPh>
    <rPh sb="6" eb="8">
      <t>コウジョ</t>
    </rPh>
    <rPh sb="8" eb="9">
      <t>ガク</t>
    </rPh>
    <rPh sb="9" eb="11">
      <t>ケイサン</t>
    </rPh>
    <rPh sb="12" eb="14">
      <t>ネンシュウ</t>
    </rPh>
    <rPh sb="17" eb="18">
      <t>マン</t>
    </rPh>
    <rPh sb="18" eb="19">
      <t>チョウ</t>
    </rPh>
    <rPh sb="20" eb="22">
      <t>バアイ</t>
    </rPh>
    <rPh sb="25" eb="26">
      <t>コタ</t>
    </rPh>
    <phoneticPr fontId="1"/>
  </si>
  <si>
    <t>自分が特別障害者に該当する</t>
    <rPh sb="0" eb="2">
      <t>ジブン</t>
    </rPh>
    <rPh sb="3" eb="5">
      <t>トクベツ</t>
    </rPh>
    <rPh sb="5" eb="8">
      <t>ショウガイシャ</t>
    </rPh>
    <rPh sb="9" eb="11">
      <t>ガイトウ</t>
    </rPh>
    <phoneticPr fontId="1"/>
  </si>
  <si>
    <t>給与等の所得金額(調整控除反映後）</t>
    <rPh sb="0" eb="2">
      <t>キュウヨ</t>
    </rPh>
    <rPh sb="2" eb="3">
      <t>トウ</t>
    </rPh>
    <rPh sb="4" eb="6">
      <t>ショトク</t>
    </rPh>
    <rPh sb="6" eb="8">
      <t>キンガク</t>
    </rPh>
    <rPh sb="9" eb="11">
      <t>チョウセイ</t>
    </rPh>
    <rPh sb="11" eb="13">
      <t>コウジョ</t>
    </rPh>
    <rPh sb="13" eb="15">
      <t>ハンエイ</t>
    </rPh>
    <rPh sb="15" eb="16">
      <t>ゴ</t>
    </rPh>
    <phoneticPr fontId="1"/>
  </si>
  <si>
    <t>65歳未満の方の計算</t>
    <rPh sb="2" eb="5">
      <t>サイミマン</t>
    </rPh>
    <rPh sb="6" eb="7">
      <t>カタ</t>
    </rPh>
    <rPh sb="8" eb="10">
      <t>ケイサン</t>
    </rPh>
    <phoneticPr fontId="1"/>
  </si>
  <si>
    <t>①－500,000円</t>
    <rPh sb="9" eb="10">
      <t>エン</t>
    </rPh>
    <phoneticPr fontId="1"/>
  </si>
  <si>
    <t>①×0.75－175,000円</t>
    <rPh sb="14" eb="15">
      <t>エン</t>
    </rPh>
    <phoneticPr fontId="1"/>
  </si>
  <si>
    <t>①×0.85－585,000円</t>
    <rPh sb="14" eb="15">
      <t>エン</t>
    </rPh>
    <phoneticPr fontId="1"/>
  </si>
  <si>
    <t>①×0.95－1,355,000円</t>
    <rPh sb="16" eb="17">
      <t>エン</t>
    </rPh>
    <phoneticPr fontId="1"/>
  </si>
  <si>
    <t>①－1,855,000円</t>
    <rPh sb="11" eb="12">
      <t>エン</t>
    </rPh>
    <phoneticPr fontId="1"/>
  </si>
  <si>
    <t>①－1,000,000円</t>
    <rPh sb="11" eb="12">
      <t>エン</t>
    </rPh>
    <phoneticPr fontId="1"/>
  </si>
  <si>
    <t>①－400,000円</t>
    <rPh sb="9" eb="10">
      <t>エン</t>
    </rPh>
    <phoneticPr fontId="1"/>
  </si>
  <si>
    <t>①×0.75－75,000円</t>
    <rPh sb="13" eb="14">
      <t>エン</t>
    </rPh>
    <phoneticPr fontId="1"/>
  </si>
  <si>
    <t>①×0.85－485,000円</t>
    <rPh sb="14" eb="15">
      <t>エン</t>
    </rPh>
    <phoneticPr fontId="1"/>
  </si>
  <si>
    <t>①×0.95－1,255,000円</t>
    <rPh sb="16" eb="17">
      <t>エン</t>
    </rPh>
    <phoneticPr fontId="1"/>
  </si>
  <si>
    <t>①－1,755,000円</t>
    <rPh sb="11" eb="12">
      <t>エン</t>
    </rPh>
    <phoneticPr fontId="1"/>
  </si>
  <si>
    <t>①－900,000円</t>
    <rPh sb="9" eb="10">
      <t>エン</t>
    </rPh>
    <phoneticPr fontId="1"/>
  </si>
  <si>
    <t>公的年金以外の合計所得が1,000万以下の場合</t>
    <rPh sb="0" eb="2">
      <t>コウテキ</t>
    </rPh>
    <rPh sb="2" eb="4">
      <t>ネンキン</t>
    </rPh>
    <rPh sb="4" eb="6">
      <t>イガイ</t>
    </rPh>
    <rPh sb="7" eb="9">
      <t>ゴウケイ</t>
    </rPh>
    <rPh sb="9" eb="11">
      <t>ショトク</t>
    </rPh>
    <rPh sb="17" eb="18">
      <t>マン</t>
    </rPh>
    <rPh sb="18" eb="20">
      <t>イカ</t>
    </rPh>
    <rPh sb="21" eb="23">
      <t>バアイ</t>
    </rPh>
    <phoneticPr fontId="1"/>
  </si>
  <si>
    <t>1,000万～2,000万円の場合</t>
    <rPh sb="5" eb="6">
      <t>マン</t>
    </rPh>
    <rPh sb="12" eb="13">
      <t>マン</t>
    </rPh>
    <rPh sb="13" eb="14">
      <t>エン</t>
    </rPh>
    <rPh sb="15" eb="17">
      <t>バアイ</t>
    </rPh>
    <phoneticPr fontId="1"/>
  </si>
  <si>
    <t>2,001万円～</t>
    <rPh sb="5" eb="6">
      <t>マン</t>
    </rPh>
    <rPh sb="6" eb="7">
      <t>エン</t>
    </rPh>
    <phoneticPr fontId="1"/>
  </si>
  <si>
    <t>①－1,100,000円</t>
    <rPh sb="3" eb="12">
      <t>１０００００エン</t>
    </rPh>
    <phoneticPr fontId="1"/>
  </si>
  <si>
    <t>円</t>
    <phoneticPr fontId="1"/>
  </si>
  <si>
    <t>給与所得</t>
    <rPh sb="0" eb="2">
      <t>キュウヨ</t>
    </rPh>
    <rPh sb="2" eb="4">
      <t>ショトク</t>
    </rPh>
    <phoneticPr fontId="5"/>
  </si>
  <si>
    <t>年金所得</t>
    <rPh sb="0" eb="2">
      <t>ネンキン</t>
    </rPh>
    <rPh sb="2" eb="4">
      <t>ショトク</t>
    </rPh>
    <phoneticPr fontId="5"/>
  </si>
  <si>
    <t>その他所得金額</t>
    <rPh sb="2" eb="3">
      <t>タ</t>
    </rPh>
    <rPh sb="3" eb="5">
      <t>ショトク</t>
    </rPh>
    <rPh sb="5" eb="6">
      <t>キン</t>
    </rPh>
    <rPh sb="6" eb="7">
      <t>ガク</t>
    </rPh>
    <phoneticPr fontId="1"/>
  </si>
  <si>
    <t>合計所得金額</t>
    <rPh sb="0" eb="2">
      <t>ゴウケイ</t>
    </rPh>
    <rPh sb="2" eb="4">
      <t>ショトク</t>
    </rPh>
    <rPh sb="4" eb="6">
      <t>キンガク</t>
    </rPh>
    <phoneticPr fontId="1"/>
  </si>
  <si>
    <t>人数</t>
    <rPh sb="0" eb="2">
      <t>ニンズウ</t>
    </rPh>
    <phoneticPr fontId="5"/>
  </si>
  <si>
    <r>
      <rPr>
        <b/>
        <sz val="12"/>
        <color indexed="8"/>
        <rFont val="HGS創英角ｺﾞｼｯｸUB"/>
        <family val="3"/>
        <charset val="128"/>
      </rPr>
      <t>「</t>
    </r>
    <r>
      <rPr>
        <b/>
        <sz val="16"/>
        <color indexed="8"/>
        <rFont val="HGS創英角ｺﾞｼｯｸUB"/>
        <family val="3"/>
        <charset val="128"/>
      </rPr>
      <t>給与所得者・年金所得者の人数]</t>
    </r>
    <r>
      <rPr>
        <sz val="12"/>
        <color indexed="8"/>
        <rFont val="HGS創英角ｺﾞｼｯｸUB"/>
        <family val="3"/>
        <charset val="128"/>
      </rPr>
      <t>（擬制世帯主を含む）</t>
    </r>
    <rPh sb="1" eb="3">
      <t>キュウヨ</t>
    </rPh>
    <rPh sb="3" eb="5">
      <t>ショトク</t>
    </rPh>
    <rPh sb="5" eb="6">
      <t>シャ</t>
    </rPh>
    <rPh sb="7" eb="9">
      <t>ネンキン</t>
    </rPh>
    <rPh sb="9" eb="11">
      <t>ショトク</t>
    </rPh>
    <rPh sb="11" eb="12">
      <t>シャ</t>
    </rPh>
    <rPh sb="13" eb="15">
      <t>ニンズウ</t>
    </rPh>
    <rPh sb="17" eb="19">
      <t>ギセイ</t>
    </rPh>
    <rPh sb="19" eb="22">
      <t>セタイヌシ</t>
    </rPh>
    <rPh sb="23" eb="24">
      <t>フク</t>
    </rPh>
    <phoneticPr fontId="5"/>
  </si>
  <si>
    <t>円</t>
    <rPh sb="0" eb="1">
      <t>エン</t>
    </rPh>
    <phoneticPr fontId="1"/>
  </si>
  <si>
    <t>その他の合計所得金額</t>
    <rPh sb="2" eb="3">
      <t>タ</t>
    </rPh>
    <rPh sb="4" eb="6">
      <t>ゴウケイ</t>
    </rPh>
    <rPh sb="6" eb="8">
      <t>ショトク</t>
    </rPh>
    <rPh sb="8" eb="10">
      <t>キンガク</t>
    </rPh>
    <phoneticPr fontId="1"/>
  </si>
  <si>
    <t>調整控除</t>
    <rPh sb="0" eb="2">
      <t>チョウセイ</t>
    </rPh>
    <rPh sb="2" eb="4">
      <t>コウジョ</t>
    </rPh>
    <phoneticPr fontId="1"/>
  </si>
  <si>
    <t>※特定同一所属者とは、同一世帯で、後期高齢者医療制度へ移行したことにより、国保の資格を喪失した方。</t>
    <rPh sb="1" eb="3">
      <t>トクテイ</t>
    </rPh>
    <rPh sb="3" eb="5">
      <t>ドウイツ</t>
    </rPh>
    <rPh sb="5" eb="7">
      <t>ショゾク</t>
    </rPh>
    <rPh sb="7" eb="8">
      <t>シャ</t>
    </rPh>
    <rPh sb="11" eb="13">
      <t>ドウイツ</t>
    </rPh>
    <rPh sb="13" eb="15">
      <t>セタイ</t>
    </rPh>
    <rPh sb="17" eb="19">
      <t>コウキ</t>
    </rPh>
    <rPh sb="19" eb="22">
      <t>コウレイシャ</t>
    </rPh>
    <rPh sb="22" eb="24">
      <t>イリョウ</t>
    </rPh>
    <rPh sb="24" eb="26">
      <t>セイド</t>
    </rPh>
    <rPh sb="27" eb="29">
      <t>イコウ</t>
    </rPh>
    <rPh sb="37" eb="39">
      <t>コクホ</t>
    </rPh>
    <rPh sb="40" eb="42">
      <t>シカク</t>
    </rPh>
    <phoneticPr fontId="5"/>
  </si>
  <si>
    <t>円</t>
    <rPh sb="0" eb="1">
      <t>エン</t>
    </rPh>
    <phoneticPr fontId="1"/>
  </si>
  <si>
    <t>雑所得金額</t>
    <rPh sb="0" eb="3">
      <t>ザツショトク</t>
    </rPh>
    <rPh sb="3" eb="5">
      <t>キンガク</t>
    </rPh>
    <phoneticPr fontId="1"/>
  </si>
  <si>
    <t>なし</t>
    <phoneticPr fontId="1"/>
  </si>
  <si>
    <t>年金控除額</t>
    <rPh sb="0" eb="2">
      <t>ネンキン</t>
    </rPh>
    <rPh sb="2" eb="4">
      <t>コウジョ</t>
    </rPh>
    <rPh sb="4" eb="5">
      <t>ガク</t>
    </rPh>
    <phoneticPr fontId="1"/>
  </si>
  <si>
    <t>非該当</t>
    <phoneticPr fontId="1"/>
  </si>
  <si>
    <t>※給与所得者とは一定の給与所得者と公的年金等の支給を受ける方。</t>
    <rPh sb="1" eb="3">
      <t>キュウヨ</t>
    </rPh>
    <rPh sb="3" eb="5">
      <t>ショトク</t>
    </rPh>
    <rPh sb="5" eb="6">
      <t>シャ</t>
    </rPh>
    <rPh sb="8" eb="10">
      <t>イッテイ</t>
    </rPh>
    <rPh sb="11" eb="13">
      <t>キュウヨ</t>
    </rPh>
    <rPh sb="13" eb="15">
      <t>ショトク</t>
    </rPh>
    <rPh sb="15" eb="16">
      <t>シャ</t>
    </rPh>
    <rPh sb="17" eb="19">
      <t>コウテキ</t>
    </rPh>
    <rPh sb="19" eb="21">
      <t>ネンキン</t>
    </rPh>
    <rPh sb="21" eb="22">
      <t>トウ</t>
    </rPh>
    <rPh sb="23" eb="25">
      <t>シキュウ</t>
    </rPh>
    <rPh sb="26" eb="27">
      <t>ウ</t>
    </rPh>
    <rPh sb="29" eb="30">
      <t>カタ</t>
    </rPh>
    <phoneticPr fontId="5"/>
  </si>
  <si>
    <t>こども均等割軽減</t>
    <rPh sb="3" eb="6">
      <t>キントウワ</t>
    </rPh>
    <rPh sb="6" eb="8">
      <t>ケイゲン</t>
    </rPh>
    <phoneticPr fontId="1"/>
  </si>
  <si>
    <t>うち未就学児</t>
    <rPh sb="2" eb="6">
      <t>ミシュウガクジ</t>
    </rPh>
    <phoneticPr fontId="1"/>
  </si>
  <si>
    <t>あくまで試算ですので、加入後の決定通知書で金額をご確認ください。</t>
    <rPh sb="4" eb="6">
      <t>シサン</t>
    </rPh>
    <rPh sb="11" eb="14">
      <t>カニュウゴ</t>
    </rPh>
    <rPh sb="15" eb="17">
      <t>ケッテイ</t>
    </rPh>
    <rPh sb="17" eb="20">
      <t>ツウチショ</t>
    </rPh>
    <rPh sb="21" eb="23">
      <t>キンガク</t>
    </rPh>
    <rPh sb="25" eb="27">
      <t>カクニン</t>
    </rPh>
    <phoneticPr fontId="1"/>
  </si>
  <si>
    <t>令和6年度韮崎市国民健康税試算表</t>
    <rPh sb="0" eb="2">
      <t>レイワ</t>
    </rPh>
    <rPh sb="3" eb="4">
      <t>ド</t>
    </rPh>
    <rPh sb="4" eb="7">
      <t>ニラサキシ</t>
    </rPh>
    <rPh sb="7" eb="9">
      <t>コクミン</t>
    </rPh>
    <rPh sb="9" eb="11">
      <t>ケンコウ</t>
    </rPh>
    <rPh sb="11" eb="12">
      <t>ゼイ</t>
    </rPh>
    <rPh sb="12" eb="15">
      <t>シサンヒョウ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</si>
</sst>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0\ &quot;%&quot;"/>
    <numFmt numFmtId="178" formatCode="#,##0\ &quot;円&quot;"/>
    <numFmt numFmtId="179" formatCode="#,##0_);[Red]\(#,##0\)"/>
    <numFmt numFmtId="180" formatCode="0.0%"/>
    <numFmt numFmtId="181" formatCode="#,##0_ &quot;円＋10万円×（給与所得者等の数ー1）以下&quot;"/>
    <numFmt numFmtId="182" formatCode="&quot;430,000円+（&quot;#,##0_ &quot;円×被保険者数と特定同一世帯所属者数の合計）＋10万円×（給与所得者等の数ー1）以下&quot;"/>
    <numFmt numFmtId="183" formatCode="&quot;¥&quot;#,##0_);[Red]\(&quot;¥&quot;#,##0\)"/>
  </numFmts>
  <fonts count="31" x14ac:knownFonts="1">
    <font>
      <sz val="11"/>
      <color theme="1"/>
      <name val="ＭＳ Ｐゴシック"/>
      <family val="2"/>
      <charset val="128"/>
      <scheme val="minor"/>
    </font>
    <font>
      <sz val="6"/>
      <name val="ＭＳ Ｐゴシック"/>
      <family val="2"/>
      <charset val="128"/>
      <scheme val="minor"/>
    </font>
    <font>
      <sz val="12"/>
      <color theme="1"/>
      <name val="メイリオ"/>
      <family val="3"/>
      <charset val="128"/>
    </font>
    <font>
      <b/>
      <sz val="16"/>
      <color indexed="81"/>
      <name val="ＭＳ Ｐゴシック"/>
      <family val="3"/>
      <charset val="128"/>
    </font>
    <font>
      <sz val="11"/>
      <color theme="1"/>
      <name val="ＭＳ Ｐゴシック"/>
      <family val="3"/>
      <charset val="128"/>
      <scheme val="minor"/>
    </font>
    <font>
      <sz val="6"/>
      <name val="ＭＳ Ｐゴシック"/>
      <family val="3"/>
      <charset val="128"/>
    </font>
    <font>
      <sz val="11"/>
      <color theme="1"/>
      <name val="メイリオ"/>
      <family val="3"/>
      <charset val="128"/>
    </font>
    <font>
      <sz val="18"/>
      <color theme="1"/>
      <name val="メイリオ"/>
      <family val="3"/>
      <charset val="128"/>
    </font>
    <font>
      <sz val="12"/>
      <color theme="1"/>
      <name val="HGS創英角ｺﾞｼｯｸUB"/>
      <family val="3"/>
      <charset val="128"/>
    </font>
    <font>
      <b/>
      <sz val="12"/>
      <color rgb="FFFF0000"/>
      <name val="メイリオ"/>
      <family val="3"/>
      <charset val="128"/>
    </font>
    <font>
      <b/>
      <sz val="12"/>
      <color indexed="8"/>
      <name val="HGS創英角ｺﾞｼｯｸUB"/>
      <family val="3"/>
      <charset val="128"/>
    </font>
    <font>
      <b/>
      <sz val="16"/>
      <color indexed="8"/>
      <name val="HGS創英角ｺﾞｼｯｸUB"/>
      <family val="3"/>
      <charset val="128"/>
    </font>
    <font>
      <sz val="12"/>
      <color indexed="8"/>
      <name val="HGS創英角ｺﾞｼｯｸUB"/>
      <family val="3"/>
      <charset val="128"/>
    </font>
    <font>
      <b/>
      <sz val="18"/>
      <color rgb="FFFF0000"/>
      <name val="メイリオ"/>
      <family val="3"/>
      <charset val="128"/>
    </font>
    <font>
      <sz val="12"/>
      <color rgb="FFFF0000"/>
      <name val="メイリオ"/>
      <family val="3"/>
      <charset val="128"/>
    </font>
    <font>
      <b/>
      <sz val="12"/>
      <color theme="1"/>
      <name val="メイリオ"/>
      <family val="3"/>
      <charset val="128"/>
    </font>
    <font>
      <b/>
      <sz val="14"/>
      <color theme="1"/>
      <name val="メイリオ"/>
      <family val="3"/>
      <charset val="128"/>
    </font>
    <font>
      <sz val="11"/>
      <color theme="1"/>
      <name val="ＭＳ Ｐゴシック"/>
      <family val="2"/>
      <charset val="128"/>
      <scheme val="minor"/>
    </font>
    <font>
      <sz val="14"/>
      <color theme="1"/>
      <name val="メイリオ"/>
      <family val="3"/>
      <charset val="128"/>
    </font>
    <font>
      <b/>
      <sz val="16"/>
      <color theme="1"/>
      <name val="メイリオ"/>
      <family val="3"/>
      <charset val="128"/>
    </font>
    <font>
      <sz val="16"/>
      <color theme="1"/>
      <name val="メイリオ"/>
      <family val="3"/>
      <charset val="128"/>
    </font>
    <font>
      <b/>
      <sz val="18"/>
      <color theme="1"/>
      <name val="メイリオ"/>
      <family val="3"/>
      <charset val="128"/>
    </font>
    <font>
      <b/>
      <sz val="20"/>
      <color theme="1"/>
      <name val="メイリオ"/>
      <family val="3"/>
      <charset val="128"/>
    </font>
    <font>
      <sz val="12"/>
      <color theme="0"/>
      <name val="メイリオ"/>
      <family val="3"/>
      <charset val="128"/>
    </font>
    <font>
      <sz val="12"/>
      <name val="メイリオ"/>
      <family val="3"/>
      <charset val="128"/>
    </font>
    <font>
      <b/>
      <sz val="12"/>
      <color theme="0"/>
      <name val="メイリオ"/>
      <family val="3"/>
      <charset val="128"/>
    </font>
    <font>
      <sz val="22"/>
      <color rgb="FF000000"/>
      <name val="メイリオ"/>
      <family val="3"/>
      <charset val="128"/>
    </font>
    <font>
      <sz val="10"/>
      <color theme="1"/>
      <name val="メイリオ"/>
      <family val="3"/>
      <charset val="128"/>
    </font>
    <font>
      <sz val="9"/>
      <color indexed="81"/>
      <name val="メイリオ"/>
      <family val="3"/>
      <charset val="128"/>
    </font>
    <font>
      <b/>
      <u/>
      <sz val="9"/>
      <color indexed="81"/>
      <name val="メイリオ"/>
      <family val="3"/>
      <charset val="128"/>
    </font>
    <font>
      <b/>
      <u/>
      <sz val="16"/>
      <color theme="1"/>
      <name val="メイリオ"/>
      <family val="3"/>
      <charset val="128"/>
    </font>
  </fonts>
  <fills count="12">
    <fill>
      <patternFill patternType="none"/>
    </fill>
    <fill>
      <patternFill patternType="gray125"/>
    </fill>
    <fill>
      <patternFill patternType="solid">
        <fgColor rgb="FF92D050"/>
        <bgColor indexed="64"/>
      </patternFill>
    </fill>
    <fill>
      <patternFill patternType="solid">
        <fgColor rgb="FFFFFFCC"/>
        <bgColor indexed="64"/>
      </patternFill>
    </fill>
    <fill>
      <patternFill patternType="solid">
        <fgColor theme="7" tint="0.39997558519241921"/>
        <bgColor indexed="64"/>
      </patternFill>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rgb="FFFF0000"/>
        <bgColor indexed="64"/>
      </patternFill>
    </fill>
    <fill>
      <patternFill patternType="solid">
        <fgColor theme="7" tint="0.59999389629810485"/>
        <bgColor indexed="64"/>
      </patternFill>
    </fill>
    <fill>
      <patternFill patternType="solid">
        <fgColor rgb="FFE3FFC9"/>
        <bgColor indexed="64"/>
      </patternFill>
    </fill>
  </fills>
  <borders count="51">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s>
  <cellStyleXfs count="5">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9" fontId="17" fillId="0" borderId="0" applyFont="0" applyFill="0" applyBorder="0" applyAlignment="0" applyProtection="0">
      <alignment vertical="center"/>
    </xf>
    <xf numFmtId="38" fontId="17" fillId="0" borderId="0" applyFont="0" applyFill="0" applyBorder="0" applyAlignment="0" applyProtection="0">
      <alignment vertical="center"/>
    </xf>
  </cellStyleXfs>
  <cellXfs count="233">
    <xf numFmtId="0" fontId="0" fillId="0" borderId="0" xfId="0">
      <alignment vertical="center"/>
    </xf>
    <xf numFmtId="176" fontId="2" fillId="3" borderId="1" xfId="0" applyNumberFormat="1" applyFont="1" applyFill="1" applyBorder="1" applyProtection="1">
      <alignment vertical="center"/>
      <protection locked="0"/>
    </xf>
    <xf numFmtId="176" fontId="2" fillId="5" borderId="8" xfId="0" applyNumberFormat="1" applyFont="1" applyFill="1" applyBorder="1" applyProtection="1">
      <alignment vertical="center"/>
    </xf>
    <xf numFmtId="176" fontId="2" fillId="5" borderId="7" xfId="0" applyNumberFormat="1" applyFont="1" applyFill="1" applyBorder="1" applyProtection="1">
      <alignment vertical="center"/>
    </xf>
    <xf numFmtId="176" fontId="2" fillId="5" borderId="12" xfId="0" applyNumberFormat="1" applyFont="1" applyFill="1" applyBorder="1" applyProtection="1">
      <alignment vertical="center"/>
    </xf>
    <xf numFmtId="0" fontId="2" fillId="5" borderId="0" xfId="0" applyFont="1" applyFill="1" applyProtection="1">
      <alignment vertical="center"/>
    </xf>
    <xf numFmtId="0" fontId="2" fillId="5" borderId="2" xfId="0" applyFont="1" applyFill="1" applyBorder="1" applyProtection="1">
      <alignment vertical="center"/>
    </xf>
    <xf numFmtId="0" fontId="2" fillId="5" borderId="0" xfId="0" applyFont="1" applyFill="1" applyBorder="1" applyAlignment="1" applyProtection="1">
      <alignment horizontal="center" vertical="center"/>
    </xf>
    <xf numFmtId="176" fontId="2" fillId="5" borderId="0" xfId="0" applyNumberFormat="1" applyFont="1" applyFill="1" applyBorder="1" applyProtection="1">
      <alignment vertical="center"/>
    </xf>
    <xf numFmtId="0" fontId="2" fillId="5" borderId="4" xfId="0" applyFont="1" applyFill="1" applyBorder="1" applyProtection="1">
      <alignment vertical="center"/>
    </xf>
    <xf numFmtId="0" fontId="2" fillId="5" borderId="15" xfId="0" applyFont="1" applyFill="1" applyBorder="1" applyAlignment="1" applyProtection="1">
      <alignment horizontal="right" vertical="center"/>
    </xf>
    <xf numFmtId="0" fontId="2" fillId="5" borderId="4" xfId="0" applyFont="1" applyFill="1" applyBorder="1" applyAlignment="1" applyProtection="1">
      <alignment horizontal="center" vertical="center"/>
    </xf>
    <xf numFmtId="176" fontId="2" fillId="5" borderId="4" xfId="0" applyNumberFormat="1" applyFont="1" applyFill="1" applyBorder="1" applyProtection="1">
      <alignment vertical="center"/>
    </xf>
    <xf numFmtId="0" fontId="2" fillId="5" borderId="0" xfId="0" applyFont="1" applyFill="1" applyBorder="1" applyProtection="1">
      <alignment vertical="center"/>
    </xf>
    <xf numFmtId="0" fontId="2" fillId="5" borderId="13" xfId="0" applyFont="1" applyFill="1" applyBorder="1" applyProtection="1">
      <alignment vertical="center"/>
    </xf>
    <xf numFmtId="0" fontId="2" fillId="5" borderId="13" xfId="0" applyFont="1" applyFill="1" applyBorder="1" applyAlignment="1" applyProtection="1">
      <alignment horizontal="center" vertical="center"/>
    </xf>
    <xf numFmtId="0" fontId="2" fillId="5" borderId="11" xfId="0" applyFont="1" applyFill="1" applyBorder="1" applyProtection="1">
      <alignment vertical="center"/>
    </xf>
    <xf numFmtId="0" fontId="2" fillId="5" borderId="11" xfId="0" applyFont="1" applyFill="1" applyBorder="1" applyAlignment="1" applyProtection="1">
      <alignment horizontal="right" vertical="center"/>
    </xf>
    <xf numFmtId="0" fontId="2" fillId="2" borderId="14" xfId="0" applyFont="1" applyFill="1" applyBorder="1" applyAlignment="1" applyProtection="1">
      <alignment horizontal="center" vertical="center"/>
    </xf>
    <xf numFmtId="0" fontId="2" fillId="6" borderId="0" xfId="0" applyFont="1" applyFill="1" applyProtection="1">
      <alignment vertical="center"/>
    </xf>
    <xf numFmtId="0" fontId="2" fillId="6" borderId="2" xfId="0" applyFont="1" applyFill="1" applyBorder="1" applyProtection="1">
      <alignment vertical="center"/>
    </xf>
    <xf numFmtId="176" fontId="2" fillId="6" borderId="7" xfId="0" applyNumberFormat="1" applyFont="1" applyFill="1" applyBorder="1" applyProtection="1">
      <alignment vertical="center"/>
    </xf>
    <xf numFmtId="0" fontId="2" fillId="6" borderId="0" xfId="0" applyFont="1" applyFill="1" applyBorder="1" applyAlignment="1" applyProtection="1">
      <alignment horizontal="center" vertical="center"/>
    </xf>
    <xf numFmtId="176" fontId="2" fillId="6" borderId="0" xfId="0" applyNumberFormat="1" applyFont="1" applyFill="1" applyBorder="1" applyProtection="1">
      <alignment vertical="center"/>
    </xf>
    <xf numFmtId="176" fontId="2" fillId="6" borderId="8" xfId="0" applyNumberFormat="1" applyFont="1" applyFill="1" applyBorder="1" applyProtection="1">
      <alignment vertical="center"/>
    </xf>
    <xf numFmtId="0" fontId="2" fillId="6" borderId="4" xfId="0" applyFont="1" applyFill="1" applyBorder="1" applyProtection="1">
      <alignment vertical="center"/>
    </xf>
    <xf numFmtId="0" fontId="2" fillId="6" borderId="4" xfId="0" applyFont="1" applyFill="1" applyBorder="1" applyAlignment="1" applyProtection="1">
      <alignment horizontal="center" vertical="center"/>
    </xf>
    <xf numFmtId="176" fontId="2" fillId="6" borderId="4" xfId="0" applyNumberFormat="1" applyFont="1" applyFill="1" applyBorder="1" applyProtection="1">
      <alignment vertical="center"/>
    </xf>
    <xf numFmtId="0" fontId="2" fillId="6" borderId="0" xfId="0" applyFont="1" applyFill="1" applyBorder="1" applyProtection="1">
      <alignment vertical="center"/>
    </xf>
    <xf numFmtId="176" fontId="2" fillId="6" borderId="12" xfId="0" applyNumberFormat="1" applyFont="1" applyFill="1" applyBorder="1" applyProtection="1">
      <alignment vertical="center"/>
    </xf>
    <xf numFmtId="0" fontId="2" fillId="6" borderId="13" xfId="0" applyFont="1" applyFill="1" applyBorder="1" applyProtection="1">
      <alignment vertical="center"/>
    </xf>
    <xf numFmtId="0" fontId="0" fillId="6" borderId="0" xfId="0" applyFill="1" applyProtection="1">
      <alignment vertical="center"/>
    </xf>
    <xf numFmtId="0" fontId="6" fillId="5" borderId="0" xfId="1" applyFont="1" applyFill="1">
      <alignment vertical="center"/>
    </xf>
    <xf numFmtId="0" fontId="8" fillId="5" borderId="0" xfId="1" applyFont="1" applyFill="1" applyAlignment="1">
      <alignment horizontal="right" vertical="center"/>
    </xf>
    <xf numFmtId="0" fontId="8" fillId="5" borderId="0" xfId="1" applyFont="1" applyFill="1">
      <alignment vertical="center"/>
    </xf>
    <xf numFmtId="0" fontId="2" fillId="5" borderId="0" xfId="1" applyFont="1" applyFill="1">
      <alignment vertical="center"/>
    </xf>
    <xf numFmtId="0" fontId="2" fillId="5" borderId="0" xfId="1" applyFont="1" applyFill="1" applyAlignment="1">
      <alignment horizontal="right" vertical="center"/>
    </xf>
    <xf numFmtId="0" fontId="2" fillId="5" borderId="17" xfId="1" applyFont="1" applyFill="1" applyBorder="1">
      <alignment vertical="center"/>
    </xf>
    <xf numFmtId="0" fontId="2" fillId="5" borderId="17" xfId="1" applyFont="1" applyFill="1" applyBorder="1" applyAlignment="1">
      <alignment horizontal="center" vertical="center"/>
    </xf>
    <xf numFmtId="0" fontId="6" fillId="5" borderId="17" xfId="1" applyFont="1" applyFill="1" applyBorder="1">
      <alignment vertical="center"/>
    </xf>
    <xf numFmtId="0" fontId="9" fillId="5" borderId="0" xfId="1" applyFont="1" applyFill="1">
      <alignment vertical="center"/>
    </xf>
    <xf numFmtId="38" fontId="6" fillId="5" borderId="17" xfId="2" applyFont="1" applyFill="1" applyBorder="1">
      <alignment vertical="center"/>
    </xf>
    <xf numFmtId="38" fontId="6" fillId="5" borderId="0" xfId="2" applyFont="1" applyFill="1">
      <alignment vertical="center"/>
    </xf>
    <xf numFmtId="0" fontId="2" fillId="5" borderId="0" xfId="1" applyFont="1" applyFill="1" applyBorder="1">
      <alignment vertical="center"/>
    </xf>
    <xf numFmtId="0" fontId="2" fillId="7" borderId="18" xfId="1" applyFont="1" applyFill="1" applyBorder="1">
      <alignment vertical="center"/>
    </xf>
    <xf numFmtId="0" fontId="13" fillId="7" borderId="19" xfId="1" applyFont="1" applyFill="1" applyBorder="1">
      <alignment vertical="center"/>
    </xf>
    <xf numFmtId="0" fontId="2" fillId="7" borderId="19" xfId="1" applyFont="1" applyFill="1" applyBorder="1">
      <alignment vertical="center"/>
    </xf>
    <xf numFmtId="0" fontId="6" fillId="7" borderId="19" xfId="1" applyFont="1" applyFill="1" applyBorder="1">
      <alignment vertical="center"/>
    </xf>
    <xf numFmtId="0" fontId="6" fillId="7" borderId="20" xfId="1" applyFont="1" applyFill="1" applyBorder="1">
      <alignment vertical="center"/>
    </xf>
    <xf numFmtId="0" fontId="2" fillId="7" borderId="7" xfId="1" applyFont="1" applyFill="1" applyBorder="1">
      <alignment vertical="center"/>
    </xf>
    <xf numFmtId="0" fontId="2" fillId="7" borderId="17" xfId="1" applyFont="1" applyFill="1" applyBorder="1">
      <alignment vertical="center"/>
    </xf>
    <xf numFmtId="38" fontId="2" fillId="7" borderId="17" xfId="1" applyNumberFormat="1" applyFont="1" applyFill="1" applyBorder="1">
      <alignment vertical="center"/>
    </xf>
    <xf numFmtId="0" fontId="2" fillId="7" borderId="0" xfId="1" applyFont="1" applyFill="1" applyBorder="1">
      <alignment vertical="center"/>
    </xf>
    <xf numFmtId="0" fontId="6" fillId="7" borderId="0" xfId="1" applyFont="1" applyFill="1" applyBorder="1">
      <alignment vertical="center"/>
    </xf>
    <xf numFmtId="0" fontId="6" fillId="7" borderId="21" xfId="1" applyFont="1" applyFill="1" applyBorder="1">
      <alignment vertical="center"/>
    </xf>
    <xf numFmtId="0" fontId="14" fillId="7" borderId="17" xfId="1" applyFont="1" applyFill="1" applyBorder="1" applyAlignment="1">
      <alignment horizontal="center" vertical="center"/>
    </xf>
    <xf numFmtId="0" fontId="14" fillId="7" borderId="0" xfId="1" applyFont="1" applyFill="1" applyBorder="1" applyAlignment="1">
      <alignment horizontal="center" vertical="center"/>
    </xf>
    <xf numFmtId="0" fontId="6" fillId="7" borderId="0" xfId="1" applyFont="1" applyFill="1" applyBorder="1" applyAlignment="1">
      <alignment vertical="top"/>
    </xf>
    <xf numFmtId="0" fontId="2" fillId="7" borderId="21" xfId="1" applyFont="1" applyFill="1" applyBorder="1">
      <alignment vertical="center"/>
    </xf>
    <xf numFmtId="0" fontId="6" fillId="5" borderId="0" xfId="1" applyFont="1" applyFill="1" applyBorder="1">
      <alignment vertical="center"/>
    </xf>
    <xf numFmtId="0" fontId="2" fillId="7" borderId="17" xfId="1" applyFont="1" applyFill="1" applyBorder="1" applyAlignment="1">
      <alignment horizontal="center" vertical="center"/>
    </xf>
    <xf numFmtId="0" fontId="15" fillId="7" borderId="7" xfId="1" applyFont="1" applyFill="1" applyBorder="1">
      <alignment vertical="center"/>
    </xf>
    <xf numFmtId="0" fontId="6" fillId="7" borderId="0" xfId="1" applyFont="1" applyFill="1" applyBorder="1" applyAlignment="1"/>
    <xf numFmtId="38" fontId="2" fillId="7" borderId="17" xfId="2" applyFont="1" applyFill="1" applyBorder="1">
      <alignment vertical="center"/>
    </xf>
    <xf numFmtId="0" fontId="2" fillId="7" borderId="17" xfId="1" applyFont="1" applyFill="1" applyBorder="1" applyAlignment="1">
      <alignment horizontal="left" vertical="center"/>
    </xf>
    <xf numFmtId="177" fontId="2" fillId="7" borderId="17" xfId="1" applyNumberFormat="1" applyFont="1" applyFill="1" applyBorder="1">
      <alignment vertical="center"/>
    </xf>
    <xf numFmtId="178" fontId="2" fillId="7" borderId="17" xfId="2" applyNumberFormat="1" applyFont="1" applyFill="1" applyBorder="1">
      <alignment vertical="center"/>
    </xf>
    <xf numFmtId="0" fontId="6" fillId="7" borderId="7" xfId="1" applyFont="1" applyFill="1" applyBorder="1">
      <alignment vertical="center"/>
    </xf>
    <xf numFmtId="0" fontId="6" fillId="7" borderId="9" xfId="1" applyFont="1" applyFill="1" applyBorder="1">
      <alignment vertical="center"/>
    </xf>
    <xf numFmtId="0" fontId="2" fillId="0" borderId="17" xfId="0" applyFont="1" applyFill="1" applyBorder="1" applyAlignment="1">
      <alignment horizontal="right" vertical="center"/>
    </xf>
    <xf numFmtId="0" fontId="2" fillId="0" borderId="17" xfId="1" applyFont="1" applyFill="1" applyBorder="1" applyAlignment="1">
      <alignment horizontal="center" vertical="center"/>
    </xf>
    <xf numFmtId="3" fontId="2" fillId="0" borderId="0" xfId="0" applyNumberFormat="1" applyFont="1">
      <alignment vertical="center"/>
    </xf>
    <xf numFmtId="0" fontId="2" fillId="0" borderId="0" xfId="0" applyFont="1">
      <alignment vertical="center"/>
    </xf>
    <xf numFmtId="0" fontId="2" fillId="0" borderId="17" xfId="0" applyFont="1" applyFill="1" applyBorder="1" applyAlignment="1">
      <alignment horizontal="center" vertical="center"/>
    </xf>
    <xf numFmtId="180" fontId="2" fillId="0" borderId="17" xfId="3" applyNumberFormat="1" applyFont="1" applyFill="1" applyBorder="1">
      <alignment vertical="center"/>
    </xf>
    <xf numFmtId="0" fontId="2" fillId="0" borderId="0" xfId="0" applyFont="1" applyAlignment="1">
      <alignment vertical="center"/>
    </xf>
    <xf numFmtId="0" fontId="2" fillId="0" borderId="0" xfId="0" applyFont="1" applyAlignment="1">
      <alignment horizontal="center" vertical="center"/>
    </xf>
    <xf numFmtId="178" fontId="2" fillId="0" borderId="17" xfId="2" applyNumberFormat="1" applyFont="1" applyFill="1" applyBorder="1">
      <alignment vertical="center"/>
    </xf>
    <xf numFmtId="178" fontId="2" fillId="0" borderId="17" xfId="2" applyNumberFormat="1" applyFont="1" applyFill="1" applyBorder="1" applyAlignment="1">
      <alignment vertical="center"/>
    </xf>
    <xf numFmtId="0" fontId="2" fillId="0" borderId="0" xfId="1" applyFont="1" applyFill="1" applyBorder="1" applyAlignment="1">
      <alignment horizontal="center" vertical="center"/>
    </xf>
    <xf numFmtId="178" fontId="2" fillId="0" borderId="0" xfId="2" applyNumberFormat="1" applyFont="1" applyFill="1" applyBorder="1" applyAlignment="1">
      <alignment vertical="center"/>
    </xf>
    <xf numFmtId="3" fontId="18" fillId="0" borderId="0" xfId="0" applyNumberFormat="1" applyFont="1" applyBorder="1" applyAlignment="1">
      <alignment vertical="center"/>
    </xf>
    <xf numFmtId="3" fontId="2" fillId="0" borderId="0" xfId="0" applyNumberFormat="1" applyFont="1" applyBorder="1" applyAlignment="1">
      <alignment vertical="center"/>
    </xf>
    <xf numFmtId="0" fontId="2" fillId="0" borderId="0" xfId="0" applyFont="1" applyAlignment="1">
      <alignment horizontal="right" vertical="center"/>
    </xf>
    <xf numFmtId="3" fontId="16" fillId="0" borderId="25" xfId="0" applyNumberFormat="1" applyFont="1" applyBorder="1" applyAlignment="1">
      <alignment vertical="center"/>
    </xf>
    <xf numFmtId="3" fontId="2" fillId="0" borderId="25" xfId="0" applyNumberFormat="1" applyFont="1" applyBorder="1" applyAlignment="1">
      <alignment vertical="center"/>
    </xf>
    <xf numFmtId="3" fontId="16" fillId="0" borderId="0" xfId="0" applyNumberFormat="1" applyFont="1">
      <alignment vertical="center"/>
    </xf>
    <xf numFmtId="0" fontId="2" fillId="0" borderId="0" xfId="0" applyFont="1" applyFill="1" applyBorder="1" applyAlignment="1">
      <alignment horizontal="center" vertical="center"/>
    </xf>
    <xf numFmtId="3" fontId="2" fillId="0" borderId="17" xfId="0" applyNumberFormat="1" applyFont="1" applyFill="1" applyBorder="1" applyAlignment="1">
      <alignment horizontal="center" vertical="center"/>
    </xf>
    <xf numFmtId="3" fontId="2" fillId="0" borderId="17" xfId="0" applyNumberFormat="1" applyFont="1" applyFill="1" applyBorder="1" applyAlignment="1">
      <alignment horizontal="center" vertical="center" wrapText="1"/>
    </xf>
    <xf numFmtId="3" fontId="2" fillId="8" borderId="17" xfId="0" applyNumberFormat="1" applyFont="1" applyFill="1" applyBorder="1">
      <alignment vertical="center"/>
    </xf>
    <xf numFmtId="0" fontId="2" fillId="8" borderId="17" xfId="0" applyFont="1" applyFill="1" applyBorder="1">
      <alignment vertical="center"/>
    </xf>
    <xf numFmtId="0" fontId="2" fillId="0" borderId="0" xfId="0" applyFont="1" applyFill="1" applyBorder="1" applyAlignment="1">
      <alignment horizontal="right" vertical="center"/>
    </xf>
    <xf numFmtId="3" fontId="2" fillId="0" borderId="17" xfId="0" applyNumberFormat="1" applyFont="1" applyBorder="1">
      <alignment vertical="center"/>
    </xf>
    <xf numFmtId="3" fontId="2" fillId="0" borderId="17" xfId="0" applyNumberFormat="1" applyFont="1" applyFill="1" applyBorder="1">
      <alignment vertical="center"/>
    </xf>
    <xf numFmtId="0" fontId="2" fillId="0" borderId="17" xfId="0" applyFont="1" applyFill="1" applyBorder="1">
      <alignment vertical="center"/>
    </xf>
    <xf numFmtId="3" fontId="2" fillId="0" borderId="0" xfId="0" applyNumberFormat="1" applyFont="1" applyFill="1">
      <alignment vertical="center"/>
    </xf>
    <xf numFmtId="0" fontId="2" fillId="0" borderId="0" xfId="0" applyFont="1" applyFill="1">
      <alignment vertical="center"/>
    </xf>
    <xf numFmtId="0" fontId="2" fillId="0" borderId="0" xfId="0" applyFont="1" applyFill="1" applyAlignment="1">
      <alignment horizontal="right" vertical="center"/>
    </xf>
    <xf numFmtId="3" fontId="16" fillId="0" borderId="0" xfId="0" applyNumberFormat="1" applyFont="1" applyFill="1">
      <alignment vertical="center"/>
    </xf>
    <xf numFmtId="3" fontId="2" fillId="8" borderId="17" xfId="0" applyNumberFormat="1" applyFont="1" applyFill="1" applyBorder="1" applyAlignment="1">
      <alignment vertical="center"/>
    </xf>
    <xf numFmtId="3" fontId="2" fillId="0" borderId="17" xfId="0" applyNumberFormat="1" applyFont="1" applyBorder="1" applyAlignment="1">
      <alignment vertical="center"/>
    </xf>
    <xf numFmtId="178" fontId="2" fillId="7" borderId="0" xfId="2" applyNumberFormat="1" applyFont="1" applyFill="1" applyBorder="1">
      <alignment vertical="center"/>
    </xf>
    <xf numFmtId="0" fontId="6" fillId="0" borderId="0" xfId="1" applyFont="1" applyFill="1" applyBorder="1">
      <alignment vertical="center"/>
    </xf>
    <xf numFmtId="0" fontId="20" fillId="0" borderId="0" xfId="1" applyFont="1" applyFill="1" applyBorder="1" applyAlignment="1">
      <alignment vertical="center"/>
    </xf>
    <xf numFmtId="0" fontId="19" fillId="0" borderId="0" xfId="1" applyFont="1" applyFill="1" applyBorder="1" applyAlignment="1">
      <alignment vertical="center"/>
    </xf>
    <xf numFmtId="0" fontId="20" fillId="0" borderId="0" xfId="1" applyFont="1" applyFill="1" applyBorder="1">
      <alignment vertical="center"/>
    </xf>
    <xf numFmtId="0" fontId="2" fillId="7" borderId="28" xfId="1" applyFont="1" applyFill="1" applyBorder="1">
      <alignment vertical="center"/>
    </xf>
    <xf numFmtId="38" fontId="2" fillId="7" borderId="28" xfId="2" applyFont="1" applyFill="1" applyBorder="1">
      <alignment vertical="center"/>
    </xf>
    <xf numFmtId="0" fontId="2" fillId="7" borderId="10" xfId="1" applyFont="1" applyFill="1" applyBorder="1">
      <alignment vertical="center"/>
    </xf>
    <xf numFmtId="178" fontId="2" fillId="7" borderId="28" xfId="2" applyNumberFormat="1" applyFont="1" applyFill="1" applyBorder="1" applyAlignment="1">
      <alignment vertical="center"/>
    </xf>
    <xf numFmtId="0" fontId="2" fillId="7" borderId="24" xfId="1" applyFont="1" applyFill="1" applyBorder="1">
      <alignment vertical="center"/>
    </xf>
    <xf numFmtId="0" fontId="6" fillId="0" borderId="19" xfId="1" applyFont="1" applyFill="1" applyBorder="1">
      <alignment vertical="center"/>
    </xf>
    <xf numFmtId="0" fontId="2" fillId="0" borderId="19" xfId="1" applyFont="1" applyFill="1" applyBorder="1">
      <alignment vertical="center"/>
    </xf>
    <xf numFmtId="0" fontId="21" fillId="0" borderId="2" xfId="1" applyFont="1" applyFill="1" applyBorder="1">
      <alignment vertical="center"/>
    </xf>
    <xf numFmtId="0" fontId="21" fillId="3" borderId="2" xfId="1" applyFont="1" applyFill="1" applyBorder="1">
      <alignment vertical="center"/>
    </xf>
    <xf numFmtId="0" fontId="21" fillId="0" borderId="3" xfId="1" applyFont="1" applyFill="1" applyBorder="1" applyAlignment="1">
      <alignment horizontal="center" vertical="center"/>
    </xf>
    <xf numFmtId="0" fontId="13" fillId="0" borderId="3" xfId="1" applyFont="1" applyFill="1" applyBorder="1" applyAlignment="1">
      <alignment horizontal="right" vertical="center"/>
    </xf>
    <xf numFmtId="0" fontId="21" fillId="0" borderId="3" xfId="1" applyFont="1" applyFill="1" applyBorder="1">
      <alignment vertical="center"/>
    </xf>
    <xf numFmtId="0" fontId="23" fillId="5" borderId="0" xfId="0" applyFont="1" applyFill="1" applyProtection="1">
      <alignment vertical="center"/>
    </xf>
    <xf numFmtId="38" fontId="2" fillId="5" borderId="12" xfId="4" applyFont="1" applyFill="1" applyBorder="1" applyProtection="1">
      <alignment vertical="center"/>
    </xf>
    <xf numFmtId="0" fontId="24" fillId="5" borderId="0" xfId="0" applyFont="1" applyFill="1" applyProtection="1">
      <alignment vertical="center"/>
    </xf>
    <xf numFmtId="0" fontId="2" fillId="4" borderId="44" xfId="0" applyFont="1" applyFill="1" applyBorder="1" applyAlignment="1" applyProtection="1">
      <alignment horizontal="center" vertical="center"/>
    </xf>
    <xf numFmtId="0" fontId="2" fillId="10" borderId="44" xfId="0" applyFont="1" applyFill="1" applyBorder="1" applyAlignment="1" applyProtection="1">
      <alignment horizontal="center" vertical="center"/>
    </xf>
    <xf numFmtId="176" fontId="2" fillId="6" borderId="41" xfId="0" applyNumberFormat="1" applyFont="1" applyFill="1" applyBorder="1" applyProtection="1">
      <alignment vertical="center"/>
    </xf>
    <xf numFmtId="0" fontId="2" fillId="6" borderId="23" xfId="0" applyFont="1" applyFill="1" applyBorder="1" applyProtection="1">
      <alignment vertical="center"/>
    </xf>
    <xf numFmtId="0" fontId="2" fillId="6" borderId="44" xfId="0" applyFont="1" applyFill="1" applyBorder="1" applyAlignment="1" applyProtection="1">
      <alignment horizontal="right" vertical="center"/>
    </xf>
    <xf numFmtId="176" fontId="2" fillId="6" borderId="21" xfId="0" applyNumberFormat="1" applyFont="1" applyFill="1" applyBorder="1" applyProtection="1">
      <alignment vertical="center"/>
    </xf>
    <xf numFmtId="176" fontId="2" fillId="6" borderId="45" xfId="0" applyNumberFormat="1" applyFont="1" applyFill="1" applyBorder="1" applyProtection="1">
      <alignment vertical="center"/>
    </xf>
    <xf numFmtId="0" fontId="2" fillId="6" borderId="46" xfId="0" applyFont="1" applyFill="1" applyBorder="1" applyProtection="1">
      <alignment vertical="center"/>
    </xf>
    <xf numFmtId="0" fontId="2" fillId="6" borderId="47" xfId="0" applyFont="1" applyFill="1" applyBorder="1" applyAlignment="1" applyProtection="1">
      <alignment horizontal="right" vertical="center"/>
    </xf>
    <xf numFmtId="0" fontId="2" fillId="6" borderId="13" xfId="0" applyFont="1" applyFill="1" applyBorder="1" applyAlignment="1" applyProtection="1">
      <alignment horizontal="center" vertical="center"/>
    </xf>
    <xf numFmtId="176" fontId="2" fillId="6" borderId="13" xfId="0" applyNumberFormat="1" applyFont="1" applyFill="1" applyBorder="1" applyProtection="1">
      <alignment vertical="center"/>
    </xf>
    <xf numFmtId="176" fontId="2" fillId="6" borderId="11" xfId="0" applyNumberFormat="1" applyFont="1" applyFill="1" applyBorder="1" applyProtection="1">
      <alignment vertical="center"/>
    </xf>
    <xf numFmtId="0" fontId="2" fillId="6" borderId="48" xfId="0" applyFont="1" applyFill="1" applyBorder="1" applyProtection="1">
      <alignment vertical="center"/>
    </xf>
    <xf numFmtId="0" fontId="2" fillId="6" borderId="49" xfId="0" applyFont="1" applyFill="1" applyBorder="1" applyAlignment="1" applyProtection="1">
      <alignment horizontal="right" vertical="center"/>
    </xf>
    <xf numFmtId="0" fontId="2" fillId="6" borderId="50" xfId="0" applyFont="1" applyFill="1" applyBorder="1" applyProtection="1">
      <alignment vertical="center"/>
    </xf>
    <xf numFmtId="0" fontId="2" fillId="6" borderId="11" xfId="0" applyFont="1" applyFill="1" applyBorder="1" applyProtection="1">
      <alignment vertical="center"/>
    </xf>
    <xf numFmtId="38" fontId="2" fillId="7" borderId="0" xfId="1" applyNumberFormat="1" applyFont="1" applyFill="1" applyBorder="1">
      <alignment vertical="center"/>
    </xf>
    <xf numFmtId="0" fontId="2" fillId="3" borderId="17" xfId="1" applyFont="1" applyFill="1" applyBorder="1" applyAlignment="1" applyProtection="1">
      <alignment horizontal="center" vertical="center"/>
      <protection locked="0"/>
    </xf>
    <xf numFmtId="0" fontId="2" fillId="3" borderId="17" xfId="1" applyFont="1" applyFill="1" applyBorder="1" applyProtection="1">
      <alignment vertical="center"/>
      <protection locked="0"/>
    </xf>
    <xf numFmtId="0" fontId="2" fillId="5" borderId="17" xfId="1" applyFont="1" applyFill="1" applyBorder="1" applyAlignment="1">
      <alignment horizontal="center" vertical="center"/>
    </xf>
    <xf numFmtId="38" fontId="6" fillId="5" borderId="17" xfId="2" applyFont="1" applyFill="1" applyBorder="1">
      <alignment vertical="center"/>
    </xf>
    <xf numFmtId="0" fontId="2" fillId="7" borderId="19" xfId="1" applyFont="1" applyFill="1" applyBorder="1">
      <alignment vertical="center"/>
    </xf>
    <xf numFmtId="0" fontId="2" fillId="7" borderId="17" xfId="1" applyFont="1" applyFill="1" applyBorder="1">
      <alignment vertical="center"/>
    </xf>
    <xf numFmtId="0" fontId="2" fillId="7" borderId="0" xfId="1" applyFont="1" applyFill="1" applyBorder="1">
      <alignment vertical="center"/>
    </xf>
    <xf numFmtId="38" fontId="2" fillId="5" borderId="17" xfId="1" applyNumberFormat="1" applyFont="1" applyFill="1" applyBorder="1">
      <alignment vertical="center"/>
    </xf>
    <xf numFmtId="0" fontId="12" fillId="7" borderId="0" xfId="1" applyFont="1" applyFill="1">
      <alignment vertical="center"/>
    </xf>
    <xf numFmtId="0" fontId="6" fillId="5" borderId="17" xfId="1" applyFont="1" applyFill="1" applyBorder="1" applyAlignment="1">
      <alignment horizontal="center" vertical="center"/>
    </xf>
    <xf numFmtId="38" fontId="6" fillId="5" borderId="17" xfId="4" applyFont="1" applyFill="1" applyBorder="1">
      <alignment vertical="center"/>
    </xf>
    <xf numFmtId="179" fontId="2" fillId="3" borderId="17" xfId="1" applyNumberFormat="1" applyFont="1" applyFill="1" applyBorder="1" applyProtection="1">
      <alignment vertical="center"/>
      <protection locked="0"/>
    </xf>
    <xf numFmtId="38" fontId="2" fillId="3" borderId="17" xfId="2" applyNumberFormat="1" applyFont="1" applyFill="1" applyBorder="1" applyProtection="1">
      <alignment vertical="center"/>
      <protection locked="0"/>
    </xf>
    <xf numFmtId="0" fontId="23" fillId="5" borderId="0" xfId="1" applyFont="1" applyFill="1" applyAlignment="1">
      <alignment horizontal="right" vertical="center"/>
    </xf>
    <xf numFmtId="38" fontId="2" fillId="5" borderId="37" xfId="4" applyFont="1" applyFill="1" applyBorder="1" applyAlignment="1" applyProtection="1">
      <alignment horizontal="center" vertical="center"/>
      <protection locked="0"/>
    </xf>
    <xf numFmtId="176" fontId="23" fillId="9" borderId="1" xfId="0" applyNumberFormat="1" applyFont="1" applyFill="1" applyBorder="1" applyProtection="1">
      <alignment vertical="center"/>
    </xf>
    <xf numFmtId="38" fontId="2" fillId="7" borderId="17" xfId="1" applyNumberFormat="1" applyFont="1" applyFill="1" applyBorder="1" applyProtection="1">
      <alignment vertical="center"/>
    </xf>
    <xf numFmtId="176" fontId="2" fillId="11" borderId="1" xfId="0" applyNumberFormat="1" applyFont="1" applyFill="1" applyBorder="1" applyProtection="1">
      <alignment vertical="center"/>
      <protection locked="0"/>
    </xf>
    <xf numFmtId="0" fontId="6" fillId="11" borderId="17" xfId="1" applyFont="1" applyFill="1" applyBorder="1" applyProtection="1">
      <alignment vertical="center"/>
      <protection locked="0"/>
    </xf>
    <xf numFmtId="0" fontId="25" fillId="9" borderId="3" xfId="0" applyNumberFormat="1" applyFont="1" applyFill="1" applyBorder="1" applyProtection="1">
      <alignment vertical="center"/>
    </xf>
    <xf numFmtId="183" fontId="2" fillId="3" borderId="17" xfId="2" applyNumberFormat="1" applyFont="1" applyFill="1" applyBorder="1" applyProtection="1">
      <alignment vertical="center"/>
      <protection locked="0"/>
    </xf>
    <xf numFmtId="0" fontId="2" fillId="11" borderId="17" xfId="1" applyFont="1" applyFill="1" applyBorder="1" applyAlignment="1" applyProtection="1">
      <alignment horizontal="center" vertical="center"/>
      <protection locked="0"/>
    </xf>
    <xf numFmtId="176" fontId="2" fillId="3" borderId="17" xfId="1" applyNumberFormat="1" applyFont="1" applyFill="1" applyBorder="1" applyProtection="1">
      <alignment vertical="center"/>
      <protection locked="0"/>
    </xf>
    <xf numFmtId="0" fontId="2" fillId="7" borderId="17" xfId="1" applyFont="1" applyFill="1" applyBorder="1" applyAlignment="1">
      <alignment horizontal="center" vertical="center"/>
    </xf>
    <xf numFmtId="0" fontId="2" fillId="0" borderId="0" xfId="1" applyFont="1" applyFill="1" applyBorder="1">
      <alignment vertical="center"/>
    </xf>
    <xf numFmtId="176" fontId="6" fillId="5" borderId="17" xfId="1" applyNumberFormat="1" applyFont="1" applyFill="1" applyBorder="1">
      <alignment vertical="center"/>
    </xf>
    <xf numFmtId="179" fontId="6" fillId="5" borderId="17" xfId="1" applyNumberFormat="1" applyFont="1" applyFill="1" applyBorder="1">
      <alignment vertical="center"/>
    </xf>
    <xf numFmtId="0" fontId="27" fillId="7" borderId="17" xfId="1" applyFont="1" applyFill="1" applyBorder="1">
      <alignment vertical="center"/>
    </xf>
    <xf numFmtId="38" fontId="2" fillId="7" borderId="0" xfId="1" applyNumberFormat="1" applyFont="1" applyFill="1" applyBorder="1" applyProtection="1">
      <alignment vertical="center"/>
    </xf>
    <xf numFmtId="0" fontId="30" fillId="5" borderId="0" xfId="1" applyFont="1" applyFill="1">
      <alignment vertical="center"/>
    </xf>
    <xf numFmtId="0" fontId="7" fillId="5" borderId="0" xfId="1" applyFont="1" applyFill="1" applyAlignment="1">
      <alignment horizontal="center" vertical="center"/>
    </xf>
    <xf numFmtId="0" fontId="22" fillId="0" borderId="1" xfId="1" applyFont="1" applyFill="1" applyBorder="1" applyAlignment="1">
      <alignment horizontal="center" vertical="center"/>
    </xf>
    <xf numFmtId="0" fontId="22" fillId="0" borderId="3" xfId="1" applyFont="1" applyFill="1" applyBorder="1" applyAlignment="1">
      <alignment horizontal="center" vertical="center"/>
    </xf>
    <xf numFmtId="0" fontId="13" fillId="3" borderId="3" xfId="1" applyFont="1" applyFill="1" applyBorder="1" applyAlignment="1">
      <alignment horizontal="right" vertical="center"/>
    </xf>
    <xf numFmtId="0" fontId="13" fillId="0" borderId="3" xfId="1" applyFont="1" applyFill="1" applyBorder="1" applyAlignment="1">
      <alignment horizontal="right" vertical="center"/>
    </xf>
    <xf numFmtId="0" fontId="22" fillId="3" borderId="1" xfId="1" applyFont="1" applyFill="1" applyBorder="1" applyAlignment="1">
      <alignment horizontal="center" vertical="center"/>
    </xf>
    <xf numFmtId="0" fontId="22" fillId="3" borderId="3" xfId="1" applyFont="1" applyFill="1" applyBorder="1" applyAlignment="1">
      <alignment horizontal="center" vertical="center"/>
    </xf>
    <xf numFmtId="181" fontId="2" fillId="7" borderId="17" xfId="1" applyNumberFormat="1" applyFont="1" applyFill="1" applyBorder="1" applyAlignment="1">
      <alignment horizontal="left" vertical="center"/>
    </xf>
    <xf numFmtId="182" fontId="2" fillId="7" borderId="17" xfId="1" applyNumberFormat="1" applyFont="1" applyFill="1" applyBorder="1" applyAlignment="1">
      <alignment horizontal="left" vertical="center"/>
    </xf>
    <xf numFmtId="0" fontId="2" fillId="7" borderId="17" xfId="1" applyFont="1" applyFill="1" applyBorder="1" applyAlignment="1">
      <alignment horizontal="center" vertical="center"/>
    </xf>
    <xf numFmtId="0" fontId="2" fillId="5" borderId="14" xfId="0" applyFont="1" applyFill="1" applyBorder="1" applyAlignment="1" applyProtection="1">
      <alignment horizontal="center" vertical="center"/>
    </xf>
    <xf numFmtId="0" fontId="2" fillId="5" borderId="15" xfId="0" applyFont="1" applyFill="1" applyBorder="1" applyAlignment="1" applyProtection="1">
      <alignment horizontal="center" vertical="center"/>
    </xf>
    <xf numFmtId="0" fontId="2" fillId="5" borderId="16" xfId="0" applyFont="1" applyFill="1" applyBorder="1" applyAlignment="1" applyProtection="1">
      <alignment horizontal="center" vertical="center"/>
    </xf>
    <xf numFmtId="38" fontId="2" fillId="5" borderId="35" xfId="4" applyFont="1" applyFill="1" applyBorder="1" applyAlignment="1" applyProtection="1">
      <alignment horizontal="center" vertical="center"/>
      <protection locked="0"/>
    </xf>
    <xf numFmtId="38" fontId="2" fillId="5" borderId="10" xfId="4" applyFont="1" applyFill="1" applyBorder="1" applyAlignment="1" applyProtection="1">
      <alignment horizontal="center" vertical="center"/>
      <protection locked="0"/>
    </xf>
    <xf numFmtId="0" fontId="2" fillId="5" borderId="31" xfId="0" applyFont="1" applyFill="1" applyBorder="1" applyAlignment="1" applyProtection="1">
      <alignment horizontal="center" vertical="center" shrinkToFit="1"/>
    </xf>
    <xf numFmtId="0" fontId="2" fillId="5" borderId="17" xfId="0" applyFont="1" applyFill="1" applyBorder="1" applyAlignment="1" applyProtection="1">
      <alignment horizontal="center" vertical="center" shrinkToFit="1"/>
    </xf>
    <xf numFmtId="0" fontId="2" fillId="5" borderId="32" xfId="0" applyFont="1" applyFill="1" applyBorder="1" applyAlignment="1" applyProtection="1">
      <alignment horizontal="center" vertical="center"/>
    </xf>
    <xf numFmtId="0" fontId="2" fillId="5" borderId="36" xfId="0" applyFont="1" applyFill="1" applyBorder="1" applyAlignment="1" applyProtection="1">
      <alignment horizontal="center" vertical="center"/>
    </xf>
    <xf numFmtId="0" fontId="2" fillId="5" borderId="30" xfId="0" applyFont="1" applyFill="1" applyBorder="1" applyAlignment="1" applyProtection="1">
      <alignment horizontal="center" vertical="center"/>
      <protection locked="0"/>
    </xf>
    <xf numFmtId="0" fontId="2" fillId="5" borderId="38" xfId="0" applyFont="1" applyFill="1" applyBorder="1" applyAlignment="1" applyProtection="1">
      <alignment horizontal="center" vertical="center"/>
      <protection locked="0"/>
    </xf>
    <xf numFmtId="0" fontId="2" fillId="5" borderId="17" xfId="0" applyFont="1" applyFill="1" applyBorder="1" applyAlignment="1" applyProtection="1">
      <alignment horizontal="center" vertical="center"/>
      <protection locked="0"/>
    </xf>
    <xf numFmtId="0" fontId="2" fillId="5" borderId="22" xfId="0" applyFont="1" applyFill="1" applyBorder="1" applyAlignment="1" applyProtection="1">
      <alignment horizontal="center" vertical="center"/>
      <protection locked="0"/>
    </xf>
    <xf numFmtId="0" fontId="2" fillId="5" borderId="36" xfId="0" applyFont="1" applyFill="1" applyBorder="1" applyAlignment="1" applyProtection="1">
      <alignment horizontal="center" vertical="center"/>
      <protection locked="0"/>
    </xf>
    <xf numFmtId="0" fontId="2" fillId="5" borderId="39" xfId="0" applyFont="1" applyFill="1" applyBorder="1" applyAlignment="1" applyProtection="1">
      <alignment horizontal="center" vertical="center"/>
      <protection locked="0"/>
    </xf>
    <xf numFmtId="0" fontId="2" fillId="5" borderId="1" xfId="0" applyFont="1" applyFill="1" applyBorder="1" applyAlignment="1" applyProtection="1">
      <alignment horizontal="center" vertical="center"/>
    </xf>
    <xf numFmtId="0" fontId="2" fillId="5" borderId="3" xfId="0" applyFont="1" applyFill="1" applyBorder="1" applyAlignment="1" applyProtection="1">
      <alignment horizontal="center" vertical="center"/>
    </xf>
    <xf numFmtId="0" fontId="2" fillId="5" borderId="2" xfId="0" applyFont="1" applyFill="1" applyBorder="1" applyAlignment="1" applyProtection="1">
      <alignment horizontal="center" vertical="center"/>
    </xf>
    <xf numFmtId="0" fontId="2" fillId="2" borderId="5"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3" xfId="0" applyFont="1" applyFill="1" applyBorder="1" applyAlignment="1" applyProtection="1">
      <alignment horizontal="center" vertical="center"/>
    </xf>
    <xf numFmtId="0" fontId="2" fillId="2" borderId="2" xfId="0" applyFont="1" applyFill="1" applyBorder="1" applyAlignment="1" applyProtection="1">
      <alignment horizontal="center" vertical="center"/>
    </xf>
    <xf numFmtId="0" fontId="2" fillId="5" borderId="29" xfId="0" applyFont="1" applyFill="1" applyBorder="1" applyAlignment="1" applyProtection="1">
      <alignment horizontal="center" vertical="center"/>
    </xf>
    <xf numFmtId="0" fontId="2" fillId="5" borderId="30" xfId="0" applyFont="1" applyFill="1" applyBorder="1" applyAlignment="1" applyProtection="1">
      <alignment horizontal="center" vertical="center"/>
    </xf>
    <xf numFmtId="0" fontId="2" fillId="5" borderId="31" xfId="0" applyFont="1" applyFill="1" applyBorder="1" applyAlignment="1" applyProtection="1">
      <alignment horizontal="center" vertical="center"/>
    </xf>
    <xf numFmtId="0" fontId="2" fillId="5" borderId="17" xfId="0" applyFont="1" applyFill="1" applyBorder="1" applyAlignment="1" applyProtection="1">
      <alignment horizontal="center" vertical="center"/>
    </xf>
    <xf numFmtId="0" fontId="2" fillId="5" borderId="33" xfId="0" applyFont="1" applyFill="1" applyBorder="1" applyAlignment="1" applyProtection="1">
      <alignment horizontal="center" vertical="center"/>
    </xf>
    <xf numFmtId="0" fontId="2" fillId="5" borderId="34" xfId="0" applyFont="1" applyFill="1" applyBorder="1" applyAlignment="1" applyProtection="1">
      <alignment horizontal="center" vertical="center"/>
    </xf>
    <xf numFmtId="0" fontId="2" fillId="4" borderId="18" xfId="0" applyFont="1" applyFill="1" applyBorder="1" applyAlignment="1" applyProtection="1">
      <alignment horizontal="center" vertical="center"/>
    </xf>
    <xf numFmtId="0" fontId="2" fillId="4" borderId="19" xfId="0" applyFont="1" applyFill="1" applyBorder="1" applyAlignment="1" applyProtection="1">
      <alignment horizontal="center" vertical="center"/>
    </xf>
    <xf numFmtId="0" fontId="2" fillId="4" borderId="20" xfId="0" applyFont="1" applyFill="1" applyBorder="1" applyAlignment="1" applyProtection="1">
      <alignment horizontal="center" vertical="center"/>
    </xf>
    <xf numFmtId="0" fontId="2" fillId="4" borderId="42" xfId="0" applyFont="1" applyFill="1" applyBorder="1" applyAlignment="1" applyProtection="1">
      <alignment horizontal="center" vertical="center"/>
    </xf>
    <xf numFmtId="0" fontId="2" fillId="4" borderId="25" xfId="0" applyFont="1" applyFill="1" applyBorder="1" applyAlignment="1" applyProtection="1">
      <alignment horizontal="center" vertical="center"/>
    </xf>
    <xf numFmtId="0" fontId="2" fillId="4" borderId="43" xfId="0" applyFont="1" applyFill="1" applyBorder="1" applyAlignment="1" applyProtection="1">
      <alignment horizontal="center" vertical="center"/>
    </xf>
    <xf numFmtId="0" fontId="2" fillId="4" borderId="5" xfId="0" applyFont="1" applyFill="1" applyBorder="1" applyAlignment="1" applyProtection="1">
      <alignment horizontal="center" vertical="center"/>
    </xf>
    <xf numFmtId="0" fontId="2" fillId="4" borderId="6" xfId="0" applyFont="1" applyFill="1" applyBorder="1" applyAlignment="1" applyProtection="1">
      <alignment horizontal="center" vertical="center"/>
    </xf>
    <xf numFmtId="0" fontId="2" fillId="4" borderId="40" xfId="0" applyFont="1" applyFill="1" applyBorder="1" applyAlignment="1" applyProtection="1">
      <alignment horizontal="center" vertical="center"/>
    </xf>
    <xf numFmtId="0" fontId="2" fillId="10" borderId="5" xfId="0" applyFont="1" applyFill="1" applyBorder="1" applyAlignment="1" applyProtection="1">
      <alignment horizontal="center" vertical="center"/>
    </xf>
    <xf numFmtId="0" fontId="2" fillId="10" borderId="6" xfId="0" applyFont="1" applyFill="1" applyBorder="1" applyAlignment="1" applyProtection="1">
      <alignment horizontal="center" vertical="center"/>
    </xf>
    <xf numFmtId="0" fontId="2" fillId="10" borderId="40" xfId="0" applyFont="1" applyFill="1" applyBorder="1" applyAlignment="1" applyProtection="1">
      <alignment horizontal="center" vertical="center"/>
    </xf>
    <xf numFmtId="0" fontId="2" fillId="4" borderId="31" xfId="0" applyFont="1" applyFill="1" applyBorder="1" applyAlignment="1" applyProtection="1">
      <alignment horizontal="center" vertical="center"/>
    </xf>
    <xf numFmtId="0" fontId="2" fillId="4" borderId="17" xfId="0" applyFont="1" applyFill="1" applyBorder="1" applyAlignment="1" applyProtection="1">
      <alignment horizontal="center" vertical="center"/>
    </xf>
    <xf numFmtId="0" fontId="2" fillId="10" borderId="31" xfId="0" applyFont="1" applyFill="1" applyBorder="1" applyAlignment="1" applyProtection="1">
      <alignment horizontal="center" vertical="center"/>
    </xf>
    <xf numFmtId="0" fontId="2" fillId="10" borderId="17" xfId="0" applyFont="1" applyFill="1" applyBorder="1" applyAlignment="1" applyProtection="1">
      <alignment horizontal="center" vertical="center"/>
    </xf>
    <xf numFmtId="0" fontId="2" fillId="4" borderId="1" xfId="0" applyFont="1" applyFill="1" applyBorder="1" applyAlignment="1" applyProtection="1">
      <alignment horizontal="center" vertical="center"/>
    </xf>
    <xf numFmtId="0" fontId="2" fillId="4" borderId="3" xfId="0" applyFont="1" applyFill="1" applyBorder="1" applyAlignment="1" applyProtection="1">
      <alignment horizontal="center" vertical="center"/>
    </xf>
    <xf numFmtId="0" fontId="2" fillId="4" borderId="2" xfId="0" applyFont="1" applyFill="1" applyBorder="1" applyAlignment="1" applyProtection="1">
      <alignment horizontal="center" vertical="center"/>
    </xf>
    <xf numFmtId="0" fontId="2" fillId="0" borderId="26" xfId="0" applyFont="1" applyFill="1" applyBorder="1" applyAlignment="1">
      <alignment horizontal="center" vertical="center"/>
    </xf>
    <xf numFmtId="0" fontId="2" fillId="0" borderId="27" xfId="0" applyFont="1" applyFill="1" applyBorder="1" applyAlignment="1">
      <alignment horizontal="center" vertical="center"/>
    </xf>
    <xf numFmtId="3" fontId="2" fillId="0" borderId="17" xfId="0" applyNumberFormat="1" applyFont="1" applyFill="1" applyBorder="1" applyAlignment="1">
      <alignment horizontal="center" vertical="center"/>
    </xf>
    <xf numFmtId="0" fontId="2" fillId="0" borderId="0" xfId="0" applyFont="1" applyAlignment="1">
      <alignment horizontal="center" vertical="center"/>
    </xf>
    <xf numFmtId="3" fontId="2" fillId="0" borderId="17" xfId="0" applyNumberFormat="1" applyFont="1" applyBorder="1" applyAlignment="1">
      <alignment horizontal="center" vertical="center"/>
    </xf>
    <xf numFmtId="0" fontId="2" fillId="0" borderId="17" xfId="0" applyFont="1" applyFill="1" applyBorder="1" applyAlignment="1">
      <alignment horizontal="center" vertical="center"/>
    </xf>
  </cellXfs>
  <cellStyles count="5">
    <cellStyle name="パーセント" xfId="3" builtinId="5"/>
    <cellStyle name="桁区切り" xfId="4" builtinId="6"/>
    <cellStyle name="桁区切り 2" xfId="2" xr:uid="{00000000-0005-0000-0000-000002000000}"/>
    <cellStyle name="標準" xfId="0" builtinId="0"/>
    <cellStyle name="標準 2" xfId="1" xr:uid="{00000000-0005-0000-0000-000004000000}"/>
  </cellStyles>
  <dxfs count="2">
    <dxf>
      <fill>
        <patternFill>
          <bgColor rgb="FFFFFF00"/>
        </patternFill>
      </fill>
    </dxf>
    <dxf>
      <fill>
        <patternFill patternType="none">
          <bgColor auto="1"/>
        </patternFill>
      </fill>
    </dxf>
  </dxfs>
  <tableStyles count="0" defaultTableStyle="TableStyleMedium2" defaultPivotStyle="PivotStyleLight16"/>
  <colors>
    <mruColors>
      <color rgb="FFE3FFC9"/>
      <color rgb="FFFFFFCC"/>
      <color rgb="FFD1FF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5</xdr:col>
      <xdr:colOff>228599</xdr:colOff>
      <xdr:row>38</xdr:row>
      <xdr:rowOff>161925</xdr:rowOff>
    </xdr:from>
    <xdr:to>
      <xdr:col>5</xdr:col>
      <xdr:colOff>771524</xdr:colOff>
      <xdr:row>39</xdr:row>
      <xdr:rowOff>104775</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flipH="1">
          <a:off x="5857874" y="10439400"/>
          <a:ext cx="542925" cy="2286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3</xdr:col>
      <xdr:colOff>323850</xdr:colOff>
      <xdr:row>21</xdr:row>
      <xdr:rowOff>142875</xdr:rowOff>
    </xdr:from>
    <xdr:to>
      <xdr:col>3</xdr:col>
      <xdr:colOff>866775</xdr:colOff>
      <xdr:row>23</xdr:row>
      <xdr:rowOff>161925</xdr:rowOff>
    </xdr:to>
    <xdr:sp macro="" textlink="">
      <xdr:nvSpPr>
        <xdr:cNvPr id="3" name="曲折矢印 2">
          <a:extLst>
            <a:ext uri="{FF2B5EF4-FFF2-40B4-BE49-F238E27FC236}">
              <a16:creationId xmlns:a16="http://schemas.microsoft.com/office/drawing/2014/main" id="{00000000-0008-0000-0000-000003000000}"/>
            </a:ext>
          </a:extLst>
        </xdr:cNvPr>
        <xdr:cNvSpPr/>
      </xdr:nvSpPr>
      <xdr:spPr>
        <a:xfrm>
          <a:off x="3286125" y="5562600"/>
          <a:ext cx="542925" cy="590550"/>
        </a:xfrm>
        <a:prstGeom prst="bentArrow">
          <a:avLst/>
        </a:prstGeom>
        <a:solidFill>
          <a:schemeClr val="tx1"/>
        </a:solidFill>
        <a:ln>
          <a:solidFill>
            <a:schemeClr val="tx1"/>
          </a:solidFill>
        </a:ln>
        <a:scene3d>
          <a:camera prst="orthographicFront">
            <a:rot lat="0" lon="1080000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5</xdr:col>
          <xdr:colOff>1247775</xdr:colOff>
          <xdr:row>0</xdr:row>
          <xdr:rowOff>85725</xdr:rowOff>
        </xdr:from>
        <xdr:to>
          <xdr:col>7</xdr:col>
          <xdr:colOff>1095375</xdr:colOff>
          <xdr:row>2</xdr:row>
          <xdr:rowOff>104775</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w="9525">
              <a:miter lim="800000"/>
              <a:headEnd/>
              <a:tailEnd/>
            </a:ln>
          </xdr:spPr>
          <xdr:txBody>
            <a:bodyPr vertOverflow="clip" wrap="square" lIns="54864" tIns="77724" rIns="54864" bIns="77724" anchor="ctr" upright="1"/>
            <a:lstStyle/>
            <a:p>
              <a:pPr algn="ctr" rtl="0">
                <a:defRPr sz="1000"/>
              </a:pPr>
              <a:r>
                <a:rPr lang="ja-JP" altLang="en-US" sz="2200" b="0" i="0" u="none" strike="noStrike" baseline="0">
                  <a:solidFill>
                    <a:srgbClr val="000000"/>
                  </a:solidFill>
                  <a:latin typeface="メイリオ"/>
                  <a:ea typeface="メイリオ"/>
                </a:rPr>
                <a:t>リセット</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476250</xdr:colOff>
      <xdr:row>0</xdr:row>
      <xdr:rowOff>134180</xdr:rowOff>
    </xdr:from>
    <xdr:to>
      <xdr:col>12</xdr:col>
      <xdr:colOff>604154</xdr:colOff>
      <xdr:row>7</xdr:row>
      <xdr:rowOff>46268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5129893" y="134180"/>
          <a:ext cx="8115297" cy="2306945"/>
          <a:chOff x="4572001" y="326572"/>
          <a:chExt cx="7859610" cy="1879135"/>
        </a:xfrm>
      </xdr:grpSpPr>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5728605" y="337410"/>
            <a:ext cx="1809751" cy="1864178"/>
          </a:xfrm>
          <a:prstGeom prst="round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a:solidFill>
                  <a:schemeClr val="tx1"/>
                </a:solidFill>
                <a:latin typeface="03スマートフォントUI" panose="02000600000000000000" pitchFamily="50" charset="-128"/>
                <a:ea typeface="03スマートフォントUI" panose="02000600000000000000" pitchFamily="50" charset="-128"/>
              </a:rPr>
              <a:t>【</a:t>
            </a:r>
            <a:r>
              <a:rPr kumimoji="1" lang="ja-JP" altLang="en-US" sz="2000">
                <a:solidFill>
                  <a:schemeClr val="tx1"/>
                </a:solidFill>
                <a:latin typeface="03スマートフォントUI" panose="02000600000000000000" pitchFamily="50" charset="-128"/>
                <a:ea typeface="03スマートフォントUI" panose="02000600000000000000" pitchFamily="50" charset="-128"/>
              </a:rPr>
              <a:t>医療分</a:t>
            </a:r>
            <a:r>
              <a:rPr kumimoji="1" lang="en-US" altLang="ja-JP" sz="2000">
                <a:solidFill>
                  <a:schemeClr val="tx1"/>
                </a:solidFill>
                <a:latin typeface="03スマートフォントUI" panose="02000600000000000000" pitchFamily="50" charset="-128"/>
                <a:ea typeface="03スマートフォントUI" panose="02000600000000000000" pitchFamily="50" charset="-128"/>
              </a:rPr>
              <a:t>】</a:t>
            </a:r>
          </a:p>
          <a:p>
            <a:pPr algn="ctr"/>
            <a:r>
              <a:rPr lang="ja-JP" altLang="en-US"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①所得割</a:t>
            </a:r>
            <a:endParaRPr lang="en-US" altLang="ja-JP"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endParaRPr>
          </a:p>
          <a:p>
            <a:pPr algn="ctr"/>
            <a:r>
              <a:rPr lang="ja-JP" altLang="en-US"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②均等割</a:t>
            </a:r>
            <a:endParaRPr lang="en-US" altLang="ja-JP"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endParaRPr>
          </a:p>
          <a:p>
            <a:pPr algn="ctr"/>
            <a:r>
              <a:rPr lang="ja-JP" altLang="en-US"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③平等割</a:t>
            </a:r>
            <a:endParaRPr lang="en-US" altLang="ja-JP"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endParaRPr>
          </a:p>
          <a:p>
            <a:pPr algn="ctr"/>
            <a:endParaRPr lang="en-US" altLang="ja-JP"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endParaRPr>
          </a:p>
          <a:p>
            <a:pPr algn="ctr"/>
            <a:r>
              <a:rPr lang="ja-JP" altLang="en-US" sz="14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限度額</a:t>
            </a:r>
            <a:r>
              <a:rPr lang="en-US" altLang="ja-JP" sz="14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640,000</a:t>
            </a:r>
            <a:r>
              <a:rPr lang="ja-JP" altLang="en-US" sz="14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円</a:t>
            </a:r>
            <a:endParaRPr kumimoji="1" lang="ja-JP" altLang="en-US" sz="1400">
              <a:solidFill>
                <a:schemeClr val="tx1"/>
              </a:solidFill>
              <a:latin typeface="03スマートフォントUI" panose="02000600000000000000" pitchFamily="50" charset="-128"/>
              <a:ea typeface="03スマートフォントUI" panose="02000600000000000000" pitchFamily="50" charset="-128"/>
            </a:endParaRPr>
          </a:p>
        </xdr:txBody>
      </xdr:sp>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8017325" y="334713"/>
            <a:ext cx="2188101" cy="1864178"/>
          </a:xfrm>
          <a:prstGeom prst="roundRect">
            <a:avLst/>
          </a:prstGeom>
          <a:solidFill>
            <a:srgbClr val="EEC6F6"/>
          </a:solid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solidFill>
                  <a:schemeClr val="tx1"/>
                </a:solidFill>
                <a:latin typeface="03スマートフォントUI" panose="02000600000000000000" pitchFamily="50" charset="-128"/>
                <a:ea typeface="03スマートフォントUI" panose="02000600000000000000" pitchFamily="50" charset="-128"/>
              </a:rPr>
              <a:t>【</a:t>
            </a:r>
            <a:r>
              <a:rPr kumimoji="1" lang="ja-JP" altLang="en-US" sz="2000">
                <a:solidFill>
                  <a:schemeClr val="tx1"/>
                </a:solidFill>
                <a:latin typeface="03スマートフォントUI" panose="02000600000000000000" pitchFamily="50" charset="-128"/>
                <a:ea typeface="03スマートフォントUI" panose="02000600000000000000" pitchFamily="50" charset="-128"/>
              </a:rPr>
              <a:t>支援金分</a:t>
            </a:r>
            <a:r>
              <a:rPr kumimoji="1" lang="en-US" altLang="ja-JP" sz="2000">
                <a:solidFill>
                  <a:schemeClr val="tx1"/>
                </a:solidFill>
                <a:latin typeface="03スマートフォントUI" panose="02000600000000000000" pitchFamily="50" charset="-128"/>
                <a:ea typeface="03スマートフォントUI" panose="02000600000000000000" pitchFamily="50" charset="-128"/>
              </a:rPr>
              <a:t>】</a:t>
            </a:r>
          </a:p>
          <a:p>
            <a:pPr algn="ctr"/>
            <a:r>
              <a:rPr lang="ja-JP" altLang="en-US"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①所得割</a:t>
            </a:r>
            <a:endParaRPr lang="en-US" altLang="ja-JP"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endParaRPr>
          </a:p>
          <a:p>
            <a:pPr algn="ctr"/>
            <a:r>
              <a:rPr lang="ja-JP" altLang="en-US"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②均等割</a:t>
            </a:r>
            <a:endParaRPr lang="en-US" altLang="ja-JP"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endParaRPr>
          </a:p>
          <a:p>
            <a:pPr algn="ctr"/>
            <a:r>
              <a:rPr lang="ja-JP" altLang="en-US"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③平等割</a:t>
            </a:r>
            <a:endParaRPr lang="en-US" altLang="ja-JP"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endParaRPr>
          </a:p>
          <a:p>
            <a:pPr algn="ctr"/>
            <a:endParaRPr lang="en-US" altLang="ja-JP" sz="14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endParaRPr>
          </a:p>
          <a:p>
            <a:pPr algn="ctr"/>
            <a:r>
              <a:rPr lang="ja-JP" altLang="en-US" sz="14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限度額</a:t>
            </a:r>
            <a:r>
              <a:rPr lang="en-US" altLang="ja-JP" sz="14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190,000</a:t>
            </a:r>
            <a:r>
              <a:rPr lang="ja-JP" altLang="en-US" sz="14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円</a:t>
            </a:r>
            <a:endParaRPr kumimoji="1" lang="ja-JP" altLang="en-US" sz="1400">
              <a:solidFill>
                <a:schemeClr val="tx1"/>
              </a:solidFill>
              <a:latin typeface="03スマートフォントUI" panose="02000600000000000000" pitchFamily="50" charset="-128"/>
              <a:ea typeface="03スマートフォントUI" panose="02000600000000000000" pitchFamily="50" charset="-128"/>
            </a:endParaRPr>
          </a:p>
        </xdr:txBody>
      </xdr:sp>
      <xdr:sp macro="" textlink="">
        <xdr:nvSpPr>
          <xdr:cNvPr id="5" name="角丸四角形 4">
            <a:extLst>
              <a:ext uri="{FF2B5EF4-FFF2-40B4-BE49-F238E27FC236}">
                <a16:creationId xmlns:a16="http://schemas.microsoft.com/office/drawing/2014/main" id="{00000000-0008-0000-0300-000005000000}"/>
              </a:ext>
            </a:extLst>
          </xdr:cNvPr>
          <xdr:cNvSpPr/>
        </xdr:nvSpPr>
        <xdr:spPr>
          <a:xfrm>
            <a:off x="10621860" y="341529"/>
            <a:ext cx="1809751" cy="1864178"/>
          </a:xfrm>
          <a:prstGeom prst="roundRect">
            <a:avLst/>
          </a:prstGeom>
          <a:solidFill>
            <a:schemeClr val="accent4">
              <a:lumMod val="20000"/>
              <a:lumOff val="80000"/>
            </a:schemeClr>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solidFill>
                  <a:schemeClr val="tx1"/>
                </a:solidFill>
                <a:latin typeface="03スマートフォントUI" panose="02000600000000000000" pitchFamily="50" charset="-128"/>
                <a:ea typeface="03スマートフォントUI" panose="02000600000000000000" pitchFamily="50" charset="-128"/>
              </a:rPr>
              <a:t>【</a:t>
            </a:r>
            <a:r>
              <a:rPr kumimoji="1" lang="ja-JP" altLang="en-US" sz="2000">
                <a:solidFill>
                  <a:schemeClr val="tx1"/>
                </a:solidFill>
                <a:latin typeface="03スマートフォントUI" panose="02000600000000000000" pitchFamily="50" charset="-128"/>
                <a:ea typeface="03スマートフォントUI" panose="02000600000000000000" pitchFamily="50" charset="-128"/>
              </a:rPr>
              <a:t>介護分</a:t>
            </a:r>
            <a:r>
              <a:rPr kumimoji="1" lang="en-US" altLang="ja-JP" sz="2000">
                <a:solidFill>
                  <a:schemeClr val="tx1"/>
                </a:solidFill>
                <a:latin typeface="03スマートフォントUI" panose="02000600000000000000" pitchFamily="50" charset="-128"/>
                <a:ea typeface="03スマートフォントUI" panose="02000600000000000000" pitchFamily="50" charset="-128"/>
              </a:rPr>
              <a:t>】</a:t>
            </a:r>
          </a:p>
          <a:p>
            <a:pPr algn="ctr"/>
            <a:r>
              <a:rPr kumimoji="1" lang="ja-JP" altLang="en-US" sz="1800">
                <a:solidFill>
                  <a:schemeClr val="tx1"/>
                </a:solidFill>
                <a:latin typeface="03スマートフォントUI" panose="02000600000000000000" pitchFamily="50" charset="-128"/>
                <a:ea typeface="03スマートフォントUI" panose="02000600000000000000" pitchFamily="50" charset="-128"/>
              </a:rPr>
              <a:t>（</a:t>
            </a:r>
            <a:r>
              <a:rPr kumimoji="1" lang="en-US" altLang="ja-JP" sz="1800">
                <a:solidFill>
                  <a:schemeClr val="tx1"/>
                </a:solidFill>
                <a:latin typeface="03スマートフォントUI" panose="02000600000000000000" pitchFamily="50" charset="-128"/>
                <a:ea typeface="03スマートフォントUI" panose="02000600000000000000" pitchFamily="50" charset="-128"/>
              </a:rPr>
              <a:t>40</a:t>
            </a:r>
            <a:r>
              <a:rPr kumimoji="1" lang="ja-JP" altLang="en-US" sz="1800">
                <a:solidFill>
                  <a:schemeClr val="tx1"/>
                </a:solidFill>
                <a:latin typeface="03スマートフォントUI" panose="02000600000000000000" pitchFamily="50" charset="-128"/>
                <a:ea typeface="03スマートフォントUI" panose="02000600000000000000" pitchFamily="50" charset="-128"/>
              </a:rPr>
              <a:t>～</a:t>
            </a:r>
            <a:r>
              <a:rPr kumimoji="1" lang="en-US" altLang="ja-JP" sz="1800">
                <a:solidFill>
                  <a:schemeClr val="tx1"/>
                </a:solidFill>
                <a:latin typeface="03スマートフォントUI" panose="02000600000000000000" pitchFamily="50" charset="-128"/>
                <a:ea typeface="03スマートフォントUI" panose="02000600000000000000" pitchFamily="50" charset="-128"/>
              </a:rPr>
              <a:t>64</a:t>
            </a:r>
            <a:r>
              <a:rPr kumimoji="1" lang="ja-JP" altLang="en-US" sz="1800">
                <a:solidFill>
                  <a:schemeClr val="tx1"/>
                </a:solidFill>
                <a:latin typeface="03スマートフォントUI" panose="02000600000000000000" pitchFamily="50" charset="-128"/>
                <a:ea typeface="03スマートフォントUI" panose="02000600000000000000" pitchFamily="50" charset="-128"/>
              </a:rPr>
              <a:t>歳）</a:t>
            </a:r>
            <a:endParaRPr kumimoji="1" lang="en-US" altLang="ja-JP" sz="1800">
              <a:solidFill>
                <a:schemeClr val="tx1"/>
              </a:solidFill>
              <a:latin typeface="03スマートフォントUI" panose="02000600000000000000" pitchFamily="50" charset="-128"/>
              <a:ea typeface="03スマートフォントUI" panose="02000600000000000000" pitchFamily="50" charset="-128"/>
            </a:endParaRPr>
          </a:p>
          <a:p>
            <a:pPr algn="ctr"/>
            <a:r>
              <a:rPr lang="ja-JP" altLang="en-US"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①所得割</a:t>
            </a:r>
            <a:endParaRPr lang="en-US" altLang="ja-JP"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endParaRPr>
          </a:p>
          <a:p>
            <a:pPr algn="ctr"/>
            <a:r>
              <a:rPr lang="ja-JP" altLang="en-US"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②均等割</a:t>
            </a:r>
            <a:endParaRPr lang="en-US" altLang="ja-JP"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endParaRPr>
          </a:p>
          <a:p>
            <a:pPr algn="ctr"/>
            <a:r>
              <a:rPr lang="ja-JP" altLang="en-US"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③平等割</a:t>
            </a:r>
            <a:endParaRPr lang="en-US" altLang="ja-JP" sz="14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endParaRPr>
          </a:p>
          <a:p>
            <a:pPr algn="ctr"/>
            <a:r>
              <a:rPr lang="ja-JP" altLang="en-US" sz="14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限度額</a:t>
            </a:r>
            <a:r>
              <a:rPr lang="en-US" altLang="ja-JP" sz="14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160,000</a:t>
            </a:r>
            <a:r>
              <a:rPr lang="ja-JP" altLang="en-US" sz="14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円</a:t>
            </a:r>
            <a:endParaRPr kumimoji="1" lang="ja-JP" altLang="en-US" sz="1400">
              <a:solidFill>
                <a:schemeClr val="tx1"/>
              </a:solidFill>
              <a:latin typeface="03スマートフォントUI" panose="02000600000000000000" pitchFamily="50" charset="-128"/>
              <a:ea typeface="03スマートフォントUI" panose="02000600000000000000" pitchFamily="50" charset="-128"/>
            </a:endParaRPr>
          </a:p>
        </xdr:txBody>
      </xdr:sp>
      <xdr:sp macro="" textlink="">
        <xdr:nvSpPr>
          <xdr:cNvPr id="6" name="等号 5">
            <a:extLst>
              <a:ext uri="{FF2B5EF4-FFF2-40B4-BE49-F238E27FC236}">
                <a16:creationId xmlns:a16="http://schemas.microsoft.com/office/drawing/2014/main" id="{00000000-0008-0000-0300-000006000000}"/>
              </a:ext>
            </a:extLst>
          </xdr:cNvPr>
          <xdr:cNvSpPr/>
        </xdr:nvSpPr>
        <xdr:spPr>
          <a:xfrm>
            <a:off x="5265964" y="1004281"/>
            <a:ext cx="421822" cy="408214"/>
          </a:xfrm>
          <a:prstGeom prst="mathEqual">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7" name="角丸四角形 6">
            <a:extLst>
              <a:ext uri="{FF2B5EF4-FFF2-40B4-BE49-F238E27FC236}">
                <a16:creationId xmlns:a16="http://schemas.microsoft.com/office/drawing/2014/main" id="{00000000-0008-0000-0300-000007000000}"/>
              </a:ext>
            </a:extLst>
          </xdr:cNvPr>
          <xdr:cNvSpPr/>
        </xdr:nvSpPr>
        <xdr:spPr>
          <a:xfrm>
            <a:off x="4572001" y="326572"/>
            <a:ext cx="666750" cy="1796143"/>
          </a:xfrm>
          <a:prstGeom prst="roundRect">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kumimoji="1" lang="ja-JP" altLang="en-US" sz="2400">
                <a:solidFill>
                  <a:schemeClr val="tx1"/>
                </a:solidFill>
                <a:latin typeface="03スマートフォントUI" panose="02000600000000000000" pitchFamily="50" charset="-128"/>
                <a:ea typeface="03スマートフォントUI" panose="02000600000000000000" pitchFamily="50" charset="-128"/>
              </a:rPr>
              <a:t>保険税額</a:t>
            </a:r>
          </a:p>
        </xdr:txBody>
      </xdr:sp>
    </xdr:grpSp>
    <xdr:clientData/>
  </xdr:twoCellAnchor>
  <xdr:twoCellAnchor>
    <xdr:from>
      <xdr:col>10</xdr:col>
      <xdr:colOff>228596</xdr:colOff>
      <xdr:row>3</xdr:row>
      <xdr:rowOff>0</xdr:rowOff>
    </xdr:from>
    <xdr:to>
      <xdr:col>10</xdr:col>
      <xdr:colOff>832754</xdr:colOff>
      <xdr:row>3</xdr:row>
      <xdr:rowOff>302078</xdr:rowOff>
    </xdr:to>
    <xdr:sp macro="" textlink="">
      <xdr:nvSpPr>
        <xdr:cNvPr id="8" name="加算 7">
          <a:extLst>
            <a:ext uri="{FF2B5EF4-FFF2-40B4-BE49-F238E27FC236}">
              <a16:creationId xmlns:a16="http://schemas.microsoft.com/office/drawing/2014/main" id="{00000000-0008-0000-0300-000008000000}"/>
            </a:ext>
          </a:extLst>
        </xdr:cNvPr>
        <xdr:cNvSpPr/>
      </xdr:nvSpPr>
      <xdr:spPr>
        <a:xfrm>
          <a:off x="9522275" y="1006929"/>
          <a:ext cx="604158" cy="302078"/>
        </a:xfrm>
        <a:prstGeom prst="mathPlus">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155120</xdr:colOff>
      <xdr:row>3</xdr:row>
      <xdr:rowOff>0</xdr:rowOff>
    </xdr:from>
    <xdr:to>
      <xdr:col>8</xdr:col>
      <xdr:colOff>767442</xdr:colOff>
      <xdr:row>3</xdr:row>
      <xdr:rowOff>318407</xdr:rowOff>
    </xdr:to>
    <xdr:sp macro="" textlink="">
      <xdr:nvSpPr>
        <xdr:cNvPr id="9" name="加算 8">
          <a:extLst>
            <a:ext uri="{FF2B5EF4-FFF2-40B4-BE49-F238E27FC236}">
              <a16:creationId xmlns:a16="http://schemas.microsoft.com/office/drawing/2014/main" id="{00000000-0008-0000-0300-000009000000}"/>
            </a:ext>
          </a:extLst>
        </xdr:cNvPr>
        <xdr:cNvSpPr/>
      </xdr:nvSpPr>
      <xdr:spPr>
        <a:xfrm>
          <a:off x="7717970" y="1069521"/>
          <a:ext cx="612322" cy="639536"/>
        </a:xfrm>
        <a:prstGeom prst="mathPlus">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53"/>
  <sheetViews>
    <sheetView tabSelected="1" zoomScaleNormal="100" workbookViewId="0">
      <selection activeCell="D5" sqref="D5"/>
    </sheetView>
  </sheetViews>
  <sheetFormatPr defaultRowHeight="18.75" x14ac:dyDescent="0.15"/>
  <cols>
    <col min="1" max="1" width="3.875" style="32" bestFit="1" customWidth="1"/>
    <col min="2" max="6" width="17.375" style="32" customWidth="1"/>
    <col min="7" max="7" width="16.75" style="32" customWidth="1"/>
    <col min="8" max="8" width="15.625" style="32" customWidth="1"/>
    <col min="9" max="9" width="20.125" style="32" customWidth="1"/>
    <col min="10" max="10" width="5.125" style="32" customWidth="1"/>
    <col min="11" max="11" width="11.25" style="32" hidden="1" customWidth="1"/>
    <col min="12" max="12" width="9.25" style="32" hidden="1" customWidth="1"/>
    <col min="13" max="13" width="11.25" style="32" hidden="1" customWidth="1"/>
    <col min="14" max="14" width="12.125" style="32" customWidth="1"/>
    <col min="15" max="15" width="9" style="32"/>
    <col min="16" max="16" width="6" style="32" customWidth="1"/>
    <col min="17" max="256" width="9" style="32"/>
    <col min="257" max="257" width="3.875" style="32" bestFit="1" customWidth="1"/>
    <col min="258" max="262" width="17.375" style="32" customWidth="1"/>
    <col min="263" max="265" width="15.625" style="32" customWidth="1"/>
    <col min="266" max="266" width="10.75" style="32" customWidth="1"/>
    <col min="267" max="268" width="0" style="32" hidden="1" customWidth="1"/>
    <col min="269" max="269" width="9.375" style="32" customWidth="1"/>
    <col min="270" max="270" width="10" style="32" customWidth="1"/>
    <col min="271" max="271" width="9" style="32"/>
    <col min="272" max="272" width="6" style="32" customWidth="1"/>
    <col min="273" max="512" width="9" style="32"/>
    <col min="513" max="513" width="3.875" style="32" bestFit="1" customWidth="1"/>
    <col min="514" max="518" width="17.375" style="32" customWidth="1"/>
    <col min="519" max="521" width="15.625" style="32" customWidth="1"/>
    <col min="522" max="522" width="10.75" style="32" customWidth="1"/>
    <col min="523" max="524" width="0" style="32" hidden="1" customWidth="1"/>
    <col min="525" max="525" width="9.375" style="32" customWidth="1"/>
    <col min="526" max="526" width="10" style="32" customWidth="1"/>
    <col min="527" max="527" width="9" style="32"/>
    <col min="528" max="528" width="6" style="32" customWidth="1"/>
    <col min="529" max="768" width="9" style="32"/>
    <col min="769" max="769" width="3.875" style="32" bestFit="1" customWidth="1"/>
    <col min="770" max="774" width="17.375" style="32" customWidth="1"/>
    <col min="775" max="777" width="15.625" style="32" customWidth="1"/>
    <col min="778" max="778" width="10.75" style="32" customWidth="1"/>
    <col min="779" max="780" width="0" style="32" hidden="1" customWidth="1"/>
    <col min="781" max="781" width="9.375" style="32" customWidth="1"/>
    <col min="782" max="782" width="10" style="32" customWidth="1"/>
    <col min="783" max="783" width="9" style="32"/>
    <col min="784" max="784" width="6" style="32" customWidth="1"/>
    <col min="785" max="1024" width="9" style="32"/>
    <col min="1025" max="1025" width="3.875" style="32" bestFit="1" customWidth="1"/>
    <col min="1026" max="1030" width="17.375" style="32" customWidth="1"/>
    <col min="1031" max="1033" width="15.625" style="32" customWidth="1"/>
    <col min="1034" max="1034" width="10.75" style="32" customWidth="1"/>
    <col min="1035" max="1036" width="0" style="32" hidden="1" customWidth="1"/>
    <col min="1037" max="1037" width="9.375" style="32" customWidth="1"/>
    <col min="1038" max="1038" width="10" style="32" customWidth="1"/>
    <col min="1039" max="1039" width="9" style="32"/>
    <col min="1040" max="1040" width="6" style="32" customWidth="1"/>
    <col min="1041" max="1280" width="9" style="32"/>
    <col min="1281" max="1281" width="3.875" style="32" bestFit="1" customWidth="1"/>
    <col min="1282" max="1286" width="17.375" style="32" customWidth="1"/>
    <col min="1287" max="1289" width="15.625" style="32" customWidth="1"/>
    <col min="1290" max="1290" width="10.75" style="32" customWidth="1"/>
    <col min="1291" max="1292" width="0" style="32" hidden="1" customWidth="1"/>
    <col min="1293" max="1293" width="9.375" style="32" customWidth="1"/>
    <col min="1294" max="1294" width="10" style="32" customWidth="1"/>
    <col min="1295" max="1295" width="9" style="32"/>
    <col min="1296" max="1296" width="6" style="32" customWidth="1"/>
    <col min="1297" max="1536" width="9" style="32"/>
    <col min="1537" max="1537" width="3.875" style="32" bestFit="1" customWidth="1"/>
    <col min="1538" max="1542" width="17.375" style="32" customWidth="1"/>
    <col min="1543" max="1545" width="15.625" style="32" customWidth="1"/>
    <col min="1546" max="1546" width="10.75" style="32" customWidth="1"/>
    <col min="1547" max="1548" width="0" style="32" hidden="1" customWidth="1"/>
    <col min="1549" max="1549" width="9.375" style="32" customWidth="1"/>
    <col min="1550" max="1550" width="10" style="32" customWidth="1"/>
    <col min="1551" max="1551" width="9" style="32"/>
    <col min="1552" max="1552" width="6" style="32" customWidth="1"/>
    <col min="1553" max="1792" width="9" style="32"/>
    <col min="1793" max="1793" width="3.875" style="32" bestFit="1" customWidth="1"/>
    <col min="1794" max="1798" width="17.375" style="32" customWidth="1"/>
    <col min="1799" max="1801" width="15.625" style="32" customWidth="1"/>
    <col min="1802" max="1802" width="10.75" style="32" customWidth="1"/>
    <col min="1803" max="1804" width="0" style="32" hidden="1" customWidth="1"/>
    <col min="1805" max="1805" width="9.375" style="32" customWidth="1"/>
    <col min="1806" max="1806" width="10" style="32" customWidth="1"/>
    <col min="1807" max="1807" width="9" style="32"/>
    <col min="1808" max="1808" width="6" style="32" customWidth="1"/>
    <col min="1809" max="2048" width="9" style="32"/>
    <col min="2049" max="2049" width="3.875" style="32" bestFit="1" customWidth="1"/>
    <col min="2050" max="2054" width="17.375" style="32" customWidth="1"/>
    <col min="2055" max="2057" width="15.625" style="32" customWidth="1"/>
    <col min="2058" max="2058" width="10.75" style="32" customWidth="1"/>
    <col min="2059" max="2060" width="0" style="32" hidden="1" customWidth="1"/>
    <col min="2061" max="2061" width="9.375" style="32" customWidth="1"/>
    <col min="2062" max="2062" width="10" style="32" customWidth="1"/>
    <col min="2063" max="2063" width="9" style="32"/>
    <col min="2064" max="2064" width="6" style="32" customWidth="1"/>
    <col min="2065" max="2304" width="9" style="32"/>
    <col min="2305" max="2305" width="3.875" style="32" bestFit="1" customWidth="1"/>
    <col min="2306" max="2310" width="17.375" style="32" customWidth="1"/>
    <col min="2311" max="2313" width="15.625" style="32" customWidth="1"/>
    <col min="2314" max="2314" width="10.75" style="32" customWidth="1"/>
    <col min="2315" max="2316" width="0" style="32" hidden="1" customWidth="1"/>
    <col min="2317" max="2317" width="9.375" style="32" customWidth="1"/>
    <col min="2318" max="2318" width="10" style="32" customWidth="1"/>
    <col min="2319" max="2319" width="9" style="32"/>
    <col min="2320" max="2320" width="6" style="32" customWidth="1"/>
    <col min="2321" max="2560" width="9" style="32"/>
    <col min="2561" max="2561" width="3.875" style="32" bestFit="1" customWidth="1"/>
    <col min="2562" max="2566" width="17.375" style="32" customWidth="1"/>
    <col min="2567" max="2569" width="15.625" style="32" customWidth="1"/>
    <col min="2570" max="2570" width="10.75" style="32" customWidth="1"/>
    <col min="2571" max="2572" width="0" style="32" hidden="1" customWidth="1"/>
    <col min="2573" max="2573" width="9.375" style="32" customWidth="1"/>
    <col min="2574" max="2574" width="10" style="32" customWidth="1"/>
    <col min="2575" max="2575" width="9" style="32"/>
    <col min="2576" max="2576" width="6" style="32" customWidth="1"/>
    <col min="2577" max="2816" width="9" style="32"/>
    <col min="2817" max="2817" width="3.875" style="32" bestFit="1" customWidth="1"/>
    <col min="2818" max="2822" width="17.375" style="32" customWidth="1"/>
    <col min="2823" max="2825" width="15.625" style="32" customWidth="1"/>
    <col min="2826" max="2826" width="10.75" style="32" customWidth="1"/>
    <col min="2827" max="2828" width="0" style="32" hidden="1" customWidth="1"/>
    <col min="2829" max="2829" width="9.375" style="32" customWidth="1"/>
    <col min="2830" max="2830" width="10" style="32" customWidth="1"/>
    <col min="2831" max="2831" width="9" style="32"/>
    <col min="2832" max="2832" width="6" style="32" customWidth="1"/>
    <col min="2833" max="3072" width="9" style="32"/>
    <col min="3073" max="3073" width="3.875" style="32" bestFit="1" customWidth="1"/>
    <col min="3074" max="3078" width="17.375" style="32" customWidth="1"/>
    <col min="3079" max="3081" width="15.625" style="32" customWidth="1"/>
    <col min="3082" max="3082" width="10.75" style="32" customWidth="1"/>
    <col min="3083" max="3084" width="0" style="32" hidden="1" customWidth="1"/>
    <col min="3085" max="3085" width="9.375" style="32" customWidth="1"/>
    <col min="3086" max="3086" width="10" style="32" customWidth="1"/>
    <col min="3087" max="3087" width="9" style="32"/>
    <col min="3088" max="3088" width="6" style="32" customWidth="1"/>
    <col min="3089" max="3328" width="9" style="32"/>
    <col min="3329" max="3329" width="3.875" style="32" bestFit="1" customWidth="1"/>
    <col min="3330" max="3334" width="17.375" style="32" customWidth="1"/>
    <col min="3335" max="3337" width="15.625" style="32" customWidth="1"/>
    <col min="3338" max="3338" width="10.75" style="32" customWidth="1"/>
    <col min="3339" max="3340" width="0" style="32" hidden="1" customWidth="1"/>
    <col min="3341" max="3341" width="9.375" style="32" customWidth="1"/>
    <col min="3342" max="3342" width="10" style="32" customWidth="1"/>
    <col min="3343" max="3343" width="9" style="32"/>
    <col min="3344" max="3344" width="6" style="32" customWidth="1"/>
    <col min="3345" max="3584" width="9" style="32"/>
    <col min="3585" max="3585" width="3.875" style="32" bestFit="1" customWidth="1"/>
    <col min="3586" max="3590" width="17.375" style="32" customWidth="1"/>
    <col min="3591" max="3593" width="15.625" style="32" customWidth="1"/>
    <col min="3594" max="3594" width="10.75" style="32" customWidth="1"/>
    <col min="3595" max="3596" width="0" style="32" hidden="1" customWidth="1"/>
    <col min="3597" max="3597" width="9.375" style="32" customWidth="1"/>
    <col min="3598" max="3598" width="10" style="32" customWidth="1"/>
    <col min="3599" max="3599" width="9" style="32"/>
    <col min="3600" max="3600" width="6" style="32" customWidth="1"/>
    <col min="3601" max="3840" width="9" style="32"/>
    <col min="3841" max="3841" width="3.875" style="32" bestFit="1" customWidth="1"/>
    <col min="3842" max="3846" width="17.375" style="32" customWidth="1"/>
    <col min="3847" max="3849" width="15.625" style="32" customWidth="1"/>
    <col min="3850" max="3850" width="10.75" style="32" customWidth="1"/>
    <col min="3851" max="3852" width="0" style="32" hidden="1" customWidth="1"/>
    <col min="3853" max="3853" width="9.375" style="32" customWidth="1"/>
    <col min="3854" max="3854" width="10" style="32" customWidth="1"/>
    <col min="3855" max="3855" width="9" style="32"/>
    <col min="3856" max="3856" width="6" style="32" customWidth="1"/>
    <col min="3857" max="4096" width="9" style="32"/>
    <col min="4097" max="4097" width="3.875" style="32" bestFit="1" customWidth="1"/>
    <col min="4098" max="4102" width="17.375" style="32" customWidth="1"/>
    <col min="4103" max="4105" width="15.625" style="32" customWidth="1"/>
    <col min="4106" max="4106" width="10.75" style="32" customWidth="1"/>
    <col min="4107" max="4108" width="0" style="32" hidden="1" customWidth="1"/>
    <col min="4109" max="4109" width="9.375" style="32" customWidth="1"/>
    <col min="4110" max="4110" width="10" style="32" customWidth="1"/>
    <col min="4111" max="4111" width="9" style="32"/>
    <col min="4112" max="4112" width="6" style="32" customWidth="1"/>
    <col min="4113" max="4352" width="9" style="32"/>
    <col min="4353" max="4353" width="3.875" style="32" bestFit="1" customWidth="1"/>
    <col min="4354" max="4358" width="17.375" style="32" customWidth="1"/>
    <col min="4359" max="4361" width="15.625" style="32" customWidth="1"/>
    <col min="4362" max="4362" width="10.75" style="32" customWidth="1"/>
    <col min="4363" max="4364" width="0" style="32" hidden="1" customWidth="1"/>
    <col min="4365" max="4365" width="9.375" style="32" customWidth="1"/>
    <col min="4366" max="4366" width="10" style="32" customWidth="1"/>
    <col min="4367" max="4367" width="9" style="32"/>
    <col min="4368" max="4368" width="6" style="32" customWidth="1"/>
    <col min="4369" max="4608" width="9" style="32"/>
    <col min="4609" max="4609" width="3.875" style="32" bestFit="1" customWidth="1"/>
    <col min="4610" max="4614" width="17.375" style="32" customWidth="1"/>
    <col min="4615" max="4617" width="15.625" style="32" customWidth="1"/>
    <col min="4618" max="4618" width="10.75" style="32" customWidth="1"/>
    <col min="4619" max="4620" width="0" style="32" hidden="1" customWidth="1"/>
    <col min="4621" max="4621" width="9.375" style="32" customWidth="1"/>
    <col min="4622" max="4622" width="10" style="32" customWidth="1"/>
    <col min="4623" max="4623" width="9" style="32"/>
    <col min="4624" max="4624" width="6" style="32" customWidth="1"/>
    <col min="4625" max="4864" width="9" style="32"/>
    <col min="4865" max="4865" width="3.875" style="32" bestFit="1" customWidth="1"/>
    <col min="4866" max="4870" width="17.375" style="32" customWidth="1"/>
    <col min="4871" max="4873" width="15.625" style="32" customWidth="1"/>
    <col min="4874" max="4874" width="10.75" style="32" customWidth="1"/>
    <col min="4875" max="4876" width="0" style="32" hidden="1" customWidth="1"/>
    <col min="4877" max="4877" width="9.375" style="32" customWidth="1"/>
    <col min="4878" max="4878" width="10" style="32" customWidth="1"/>
    <col min="4879" max="4879" width="9" style="32"/>
    <col min="4880" max="4880" width="6" style="32" customWidth="1"/>
    <col min="4881" max="5120" width="9" style="32"/>
    <col min="5121" max="5121" width="3.875" style="32" bestFit="1" customWidth="1"/>
    <col min="5122" max="5126" width="17.375" style="32" customWidth="1"/>
    <col min="5127" max="5129" width="15.625" style="32" customWidth="1"/>
    <col min="5130" max="5130" width="10.75" style="32" customWidth="1"/>
    <col min="5131" max="5132" width="0" style="32" hidden="1" customWidth="1"/>
    <col min="5133" max="5133" width="9.375" style="32" customWidth="1"/>
    <col min="5134" max="5134" width="10" style="32" customWidth="1"/>
    <col min="5135" max="5135" width="9" style="32"/>
    <col min="5136" max="5136" width="6" style="32" customWidth="1"/>
    <col min="5137" max="5376" width="9" style="32"/>
    <col min="5377" max="5377" width="3.875" style="32" bestFit="1" customWidth="1"/>
    <col min="5378" max="5382" width="17.375" style="32" customWidth="1"/>
    <col min="5383" max="5385" width="15.625" style="32" customWidth="1"/>
    <col min="5386" max="5386" width="10.75" style="32" customWidth="1"/>
    <col min="5387" max="5388" width="0" style="32" hidden="1" customWidth="1"/>
    <col min="5389" max="5389" width="9.375" style="32" customWidth="1"/>
    <col min="5390" max="5390" width="10" style="32" customWidth="1"/>
    <col min="5391" max="5391" width="9" style="32"/>
    <col min="5392" max="5392" width="6" style="32" customWidth="1"/>
    <col min="5393" max="5632" width="9" style="32"/>
    <col min="5633" max="5633" width="3.875" style="32" bestFit="1" customWidth="1"/>
    <col min="5634" max="5638" width="17.375" style="32" customWidth="1"/>
    <col min="5639" max="5641" width="15.625" style="32" customWidth="1"/>
    <col min="5642" max="5642" width="10.75" style="32" customWidth="1"/>
    <col min="5643" max="5644" width="0" style="32" hidden="1" customWidth="1"/>
    <col min="5645" max="5645" width="9.375" style="32" customWidth="1"/>
    <col min="5646" max="5646" width="10" style="32" customWidth="1"/>
    <col min="5647" max="5647" width="9" style="32"/>
    <col min="5648" max="5648" width="6" style="32" customWidth="1"/>
    <col min="5649" max="5888" width="9" style="32"/>
    <col min="5889" max="5889" width="3.875" style="32" bestFit="1" customWidth="1"/>
    <col min="5890" max="5894" width="17.375" style="32" customWidth="1"/>
    <col min="5895" max="5897" width="15.625" style="32" customWidth="1"/>
    <col min="5898" max="5898" width="10.75" style="32" customWidth="1"/>
    <col min="5899" max="5900" width="0" style="32" hidden="1" customWidth="1"/>
    <col min="5901" max="5901" width="9.375" style="32" customWidth="1"/>
    <col min="5902" max="5902" width="10" style="32" customWidth="1"/>
    <col min="5903" max="5903" width="9" style="32"/>
    <col min="5904" max="5904" width="6" style="32" customWidth="1"/>
    <col min="5905" max="6144" width="9" style="32"/>
    <col min="6145" max="6145" width="3.875" style="32" bestFit="1" customWidth="1"/>
    <col min="6146" max="6150" width="17.375" style="32" customWidth="1"/>
    <col min="6151" max="6153" width="15.625" style="32" customWidth="1"/>
    <col min="6154" max="6154" width="10.75" style="32" customWidth="1"/>
    <col min="6155" max="6156" width="0" style="32" hidden="1" customWidth="1"/>
    <col min="6157" max="6157" width="9.375" style="32" customWidth="1"/>
    <col min="6158" max="6158" width="10" style="32" customWidth="1"/>
    <col min="6159" max="6159" width="9" style="32"/>
    <col min="6160" max="6160" width="6" style="32" customWidth="1"/>
    <col min="6161" max="6400" width="9" style="32"/>
    <col min="6401" max="6401" width="3.875" style="32" bestFit="1" customWidth="1"/>
    <col min="6402" max="6406" width="17.375" style="32" customWidth="1"/>
    <col min="6407" max="6409" width="15.625" style="32" customWidth="1"/>
    <col min="6410" max="6410" width="10.75" style="32" customWidth="1"/>
    <col min="6411" max="6412" width="0" style="32" hidden="1" customWidth="1"/>
    <col min="6413" max="6413" width="9.375" style="32" customWidth="1"/>
    <col min="6414" max="6414" width="10" style="32" customWidth="1"/>
    <col min="6415" max="6415" width="9" style="32"/>
    <col min="6416" max="6416" width="6" style="32" customWidth="1"/>
    <col min="6417" max="6656" width="9" style="32"/>
    <col min="6657" max="6657" width="3.875" style="32" bestFit="1" customWidth="1"/>
    <col min="6658" max="6662" width="17.375" style="32" customWidth="1"/>
    <col min="6663" max="6665" width="15.625" style="32" customWidth="1"/>
    <col min="6666" max="6666" width="10.75" style="32" customWidth="1"/>
    <col min="6667" max="6668" width="0" style="32" hidden="1" customWidth="1"/>
    <col min="6669" max="6669" width="9.375" style="32" customWidth="1"/>
    <col min="6670" max="6670" width="10" style="32" customWidth="1"/>
    <col min="6671" max="6671" width="9" style="32"/>
    <col min="6672" max="6672" width="6" style="32" customWidth="1"/>
    <col min="6673" max="6912" width="9" style="32"/>
    <col min="6913" max="6913" width="3.875" style="32" bestFit="1" customWidth="1"/>
    <col min="6914" max="6918" width="17.375" style="32" customWidth="1"/>
    <col min="6919" max="6921" width="15.625" style="32" customWidth="1"/>
    <col min="6922" max="6922" width="10.75" style="32" customWidth="1"/>
    <col min="6923" max="6924" width="0" style="32" hidden="1" customWidth="1"/>
    <col min="6925" max="6925" width="9.375" style="32" customWidth="1"/>
    <col min="6926" max="6926" width="10" style="32" customWidth="1"/>
    <col min="6927" max="6927" width="9" style="32"/>
    <col min="6928" max="6928" width="6" style="32" customWidth="1"/>
    <col min="6929" max="7168" width="9" style="32"/>
    <col min="7169" max="7169" width="3.875" style="32" bestFit="1" customWidth="1"/>
    <col min="7170" max="7174" width="17.375" style="32" customWidth="1"/>
    <col min="7175" max="7177" width="15.625" style="32" customWidth="1"/>
    <col min="7178" max="7178" width="10.75" style="32" customWidth="1"/>
    <col min="7179" max="7180" width="0" style="32" hidden="1" customWidth="1"/>
    <col min="7181" max="7181" width="9.375" style="32" customWidth="1"/>
    <col min="7182" max="7182" width="10" style="32" customWidth="1"/>
    <col min="7183" max="7183" width="9" style="32"/>
    <col min="7184" max="7184" width="6" style="32" customWidth="1"/>
    <col min="7185" max="7424" width="9" style="32"/>
    <col min="7425" max="7425" width="3.875" style="32" bestFit="1" customWidth="1"/>
    <col min="7426" max="7430" width="17.375" style="32" customWidth="1"/>
    <col min="7431" max="7433" width="15.625" style="32" customWidth="1"/>
    <col min="7434" max="7434" width="10.75" style="32" customWidth="1"/>
    <col min="7435" max="7436" width="0" style="32" hidden="1" customWidth="1"/>
    <col min="7437" max="7437" width="9.375" style="32" customWidth="1"/>
    <col min="7438" max="7438" width="10" style="32" customWidth="1"/>
    <col min="7439" max="7439" width="9" style="32"/>
    <col min="7440" max="7440" width="6" style="32" customWidth="1"/>
    <col min="7441" max="7680" width="9" style="32"/>
    <col min="7681" max="7681" width="3.875" style="32" bestFit="1" customWidth="1"/>
    <col min="7682" max="7686" width="17.375" style="32" customWidth="1"/>
    <col min="7687" max="7689" width="15.625" style="32" customWidth="1"/>
    <col min="7690" max="7690" width="10.75" style="32" customWidth="1"/>
    <col min="7691" max="7692" width="0" style="32" hidden="1" customWidth="1"/>
    <col min="7693" max="7693" width="9.375" style="32" customWidth="1"/>
    <col min="7694" max="7694" width="10" style="32" customWidth="1"/>
    <col min="7695" max="7695" width="9" style="32"/>
    <col min="7696" max="7696" width="6" style="32" customWidth="1"/>
    <col min="7697" max="7936" width="9" style="32"/>
    <col min="7937" max="7937" width="3.875" style="32" bestFit="1" customWidth="1"/>
    <col min="7938" max="7942" width="17.375" style="32" customWidth="1"/>
    <col min="7943" max="7945" width="15.625" style="32" customWidth="1"/>
    <col min="7946" max="7946" width="10.75" style="32" customWidth="1"/>
    <col min="7947" max="7948" width="0" style="32" hidden="1" customWidth="1"/>
    <col min="7949" max="7949" width="9.375" style="32" customWidth="1"/>
    <col min="7950" max="7950" width="10" style="32" customWidth="1"/>
    <col min="7951" max="7951" width="9" style="32"/>
    <col min="7952" max="7952" width="6" style="32" customWidth="1"/>
    <col min="7953" max="8192" width="9" style="32"/>
    <col min="8193" max="8193" width="3.875" style="32" bestFit="1" customWidth="1"/>
    <col min="8194" max="8198" width="17.375" style="32" customWidth="1"/>
    <col min="8199" max="8201" width="15.625" style="32" customWidth="1"/>
    <col min="8202" max="8202" width="10.75" style="32" customWidth="1"/>
    <col min="8203" max="8204" width="0" style="32" hidden="1" customWidth="1"/>
    <col min="8205" max="8205" width="9.375" style="32" customWidth="1"/>
    <col min="8206" max="8206" width="10" style="32" customWidth="1"/>
    <col min="8207" max="8207" width="9" style="32"/>
    <col min="8208" max="8208" width="6" style="32" customWidth="1"/>
    <col min="8209" max="8448" width="9" style="32"/>
    <col min="8449" max="8449" width="3.875" style="32" bestFit="1" customWidth="1"/>
    <col min="8450" max="8454" width="17.375" style="32" customWidth="1"/>
    <col min="8455" max="8457" width="15.625" style="32" customWidth="1"/>
    <col min="8458" max="8458" width="10.75" style="32" customWidth="1"/>
    <col min="8459" max="8460" width="0" style="32" hidden="1" customWidth="1"/>
    <col min="8461" max="8461" width="9.375" style="32" customWidth="1"/>
    <col min="8462" max="8462" width="10" style="32" customWidth="1"/>
    <col min="8463" max="8463" width="9" style="32"/>
    <col min="8464" max="8464" width="6" style="32" customWidth="1"/>
    <col min="8465" max="8704" width="9" style="32"/>
    <col min="8705" max="8705" width="3.875" style="32" bestFit="1" customWidth="1"/>
    <col min="8706" max="8710" width="17.375" style="32" customWidth="1"/>
    <col min="8711" max="8713" width="15.625" style="32" customWidth="1"/>
    <col min="8714" max="8714" width="10.75" style="32" customWidth="1"/>
    <col min="8715" max="8716" width="0" style="32" hidden="1" customWidth="1"/>
    <col min="8717" max="8717" width="9.375" style="32" customWidth="1"/>
    <col min="8718" max="8718" width="10" style="32" customWidth="1"/>
    <col min="8719" max="8719" width="9" style="32"/>
    <col min="8720" max="8720" width="6" style="32" customWidth="1"/>
    <col min="8721" max="8960" width="9" style="32"/>
    <col min="8961" max="8961" width="3.875" style="32" bestFit="1" customWidth="1"/>
    <col min="8962" max="8966" width="17.375" style="32" customWidth="1"/>
    <col min="8967" max="8969" width="15.625" style="32" customWidth="1"/>
    <col min="8970" max="8970" width="10.75" style="32" customWidth="1"/>
    <col min="8971" max="8972" width="0" style="32" hidden="1" customWidth="1"/>
    <col min="8973" max="8973" width="9.375" style="32" customWidth="1"/>
    <col min="8974" max="8974" width="10" style="32" customWidth="1"/>
    <col min="8975" max="8975" width="9" style="32"/>
    <col min="8976" max="8976" width="6" style="32" customWidth="1"/>
    <col min="8977" max="9216" width="9" style="32"/>
    <col min="9217" max="9217" width="3.875" style="32" bestFit="1" customWidth="1"/>
    <col min="9218" max="9222" width="17.375" style="32" customWidth="1"/>
    <col min="9223" max="9225" width="15.625" style="32" customWidth="1"/>
    <col min="9226" max="9226" width="10.75" style="32" customWidth="1"/>
    <col min="9227" max="9228" width="0" style="32" hidden="1" customWidth="1"/>
    <col min="9229" max="9229" width="9.375" style="32" customWidth="1"/>
    <col min="9230" max="9230" width="10" style="32" customWidth="1"/>
    <col min="9231" max="9231" width="9" style="32"/>
    <col min="9232" max="9232" width="6" style="32" customWidth="1"/>
    <col min="9233" max="9472" width="9" style="32"/>
    <col min="9473" max="9473" width="3.875" style="32" bestFit="1" customWidth="1"/>
    <col min="9474" max="9478" width="17.375" style="32" customWidth="1"/>
    <col min="9479" max="9481" width="15.625" style="32" customWidth="1"/>
    <col min="9482" max="9482" width="10.75" style="32" customWidth="1"/>
    <col min="9483" max="9484" width="0" style="32" hidden="1" customWidth="1"/>
    <col min="9485" max="9485" width="9.375" style="32" customWidth="1"/>
    <col min="9486" max="9486" width="10" style="32" customWidth="1"/>
    <col min="9487" max="9487" width="9" style="32"/>
    <col min="9488" max="9488" width="6" style="32" customWidth="1"/>
    <col min="9489" max="9728" width="9" style="32"/>
    <col min="9729" max="9729" width="3.875" style="32" bestFit="1" customWidth="1"/>
    <col min="9730" max="9734" width="17.375" style="32" customWidth="1"/>
    <col min="9735" max="9737" width="15.625" style="32" customWidth="1"/>
    <col min="9738" max="9738" width="10.75" style="32" customWidth="1"/>
    <col min="9739" max="9740" width="0" style="32" hidden="1" customWidth="1"/>
    <col min="9741" max="9741" width="9.375" style="32" customWidth="1"/>
    <col min="9742" max="9742" width="10" style="32" customWidth="1"/>
    <col min="9743" max="9743" width="9" style="32"/>
    <col min="9744" max="9744" width="6" style="32" customWidth="1"/>
    <col min="9745" max="9984" width="9" style="32"/>
    <col min="9985" max="9985" width="3.875" style="32" bestFit="1" customWidth="1"/>
    <col min="9986" max="9990" width="17.375" style="32" customWidth="1"/>
    <col min="9991" max="9993" width="15.625" style="32" customWidth="1"/>
    <col min="9994" max="9994" width="10.75" style="32" customWidth="1"/>
    <col min="9995" max="9996" width="0" style="32" hidden="1" customWidth="1"/>
    <col min="9997" max="9997" width="9.375" style="32" customWidth="1"/>
    <col min="9998" max="9998" width="10" style="32" customWidth="1"/>
    <col min="9999" max="9999" width="9" style="32"/>
    <col min="10000" max="10000" width="6" style="32" customWidth="1"/>
    <col min="10001" max="10240" width="9" style="32"/>
    <col min="10241" max="10241" width="3.875" style="32" bestFit="1" customWidth="1"/>
    <col min="10242" max="10246" width="17.375" style="32" customWidth="1"/>
    <col min="10247" max="10249" width="15.625" style="32" customWidth="1"/>
    <col min="10250" max="10250" width="10.75" style="32" customWidth="1"/>
    <col min="10251" max="10252" width="0" style="32" hidden="1" customWidth="1"/>
    <col min="10253" max="10253" width="9.375" style="32" customWidth="1"/>
    <col min="10254" max="10254" width="10" style="32" customWidth="1"/>
    <col min="10255" max="10255" width="9" style="32"/>
    <col min="10256" max="10256" width="6" style="32" customWidth="1"/>
    <col min="10257" max="10496" width="9" style="32"/>
    <col min="10497" max="10497" width="3.875" style="32" bestFit="1" customWidth="1"/>
    <col min="10498" max="10502" width="17.375" style="32" customWidth="1"/>
    <col min="10503" max="10505" width="15.625" style="32" customWidth="1"/>
    <col min="10506" max="10506" width="10.75" style="32" customWidth="1"/>
    <col min="10507" max="10508" width="0" style="32" hidden="1" customWidth="1"/>
    <col min="10509" max="10509" width="9.375" style="32" customWidth="1"/>
    <col min="10510" max="10510" width="10" style="32" customWidth="1"/>
    <col min="10511" max="10511" width="9" style="32"/>
    <col min="10512" max="10512" width="6" style="32" customWidth="1"/>
    <col min="10513" max="10752" width="9" style="32"/>
    <col min="10753" max="10753" width="3.875" style="32" bestFit="1" customWidth="1"/>
    <col min="10754" max="10758" width="17.375" style="32" customWidth="1"/>
    <col min="10759" max="10761" width="15.625" style="32" customWidth="1"/>
    <col min="10762" max="10762" width="10.75" style="32" customWidth="1"/>
    <col min="10763" max="10764" width="0" style="32" hidden="1" customWidth="1"/>
    <col min="10765" max="10765" width="9.375" style="32" customWidth="1"/>
    <col min="10766" max="10766" width="10" style="32" customWidth="1"/>
    <col min="10767" max="10767" width="9" style="32"/>
    <col min="10768" max="10768" width="6" style="32" customWidth="1"/>
    <col min="10769" max="11008" width="9" style="32"/>
    <col min="11009" max="11009" width="3.875" style="32" bestFit="1" customWidth="1"/>
    <col min="11010" max="11014" width="17.375" style="32" customWidth="1"/>
    <col min="11015" max="11017" width="15.625" style="32" customWidth="1"/>
    <col min="11018" max="11018" width="10.75" style="32" customWidth="1"/>
    <col min="11019" max="11020" width="0" style="32" hidden="1" customWidth="1"/>
    <col min="11021" max="11021" width="9.375" style="32" customWidth="1"/>
    <col min="11022" max="11022" width="10" style="32" customWidth="1"/>
    <col min="11023" max="11023" width="9" style="32"/>
    <col min="11024" max="11024" width="6" style="32" customWidth="1"/>
    <col min="11025" max="11264" width="9" style="32"/>
    <col min="11265" max="11265" width="3.875" style="32" bestFit="1" customWidth="1"/>
    <col min="11266" max="11270" width="17.375" style="32" customWidth="1"/>
    <col min="11271" max="11273" width="15.625" style="32" customWidth="1"/>
    <col min="11274" max="11274" width="10.75" style="32" customWidth="1"/>
    <col min="11275" max="11276" width="0" style="32" hidden="1" customWidth="1"/>
    <col min="11277" max="11277" width="9.375" style="32" customWidth="1"/>
    <col min="11278" max="11278" width="10" style="32" customWidth="1"/>
    <col min="11279" max="11279" width="9" style="32"/>
    <col min="11280" max="11280" width="6" style="32" customWidth="1"/>
    <col min="11281" max="11520" width="9" style="32"/>
    <col min="11521" max="11521" width="3.875" style="32" bestFit="1" customWidth="1"/>
    <col min="11522" max="11526" width="17.375" style="32" customWidth="1"/>
    <col min="11527" max="11529" width="15.625" style="32" customWidth="1"/>
    <col min="11530" max="11530" width="10.75" style="32" customWidth="1"/>
    <col min="11531" max="11532" width="0" style="32" hidden="1" customWidth="1"/>
    <col min="11533" max="11533" width="9.375" style="32" customWidth="1"/>
    <col min="11534" max="11534" width="10" style="32" customWidth="1"/>
    <col min="11535" max="11535" width="9" style="32"/>
    <col min="11536" max="11536" width="6" style="32" customWidth="1"/>
    <col min="11537" max="11776" width="9" style="32"/>
    <col min="11777" max="11777" width="3.875" style="32" bestFit="1" customWidth="1"/>
    <col min="11778" max="11782" width="17.375" style="32" customWidth="1"/>
    <col min="11783" max="11785" width="15.625" style="32" customWidth="1"/>
    <col min="11786" max="11786" width="10.75" style="32" customWidth="1"/>
    <col min="11787" max="11788" width="0" style="32" hidden="1" customWidth="1"/>
    <col min="11789" max="11789" width="9.375" style="32" customWidth="1"/>
    <col min="11790" max="11790" width="10" style="32" customWidth="1"/>
    <col min="11791" max="11791" width="9" style="32"/>
    <col min="11792" max="11792" width="6" style="32" customWidth="1"/>
    <col min="11793" max="12032" width="9" style="32"/>
    <col min="12033" max="12033" width="3.875" style="32" bestFit="1" customWidth="1"/>
    <col min="12034" max="12038" width="17.375" style="32" customWidth="1"/>
    <col min="12039" max="12041" width="15.625" style="32" customWidth="1"/>
    <col min="12042" max="12042" width="10.75" style="32" customWidth="1"/>
    <col min="12043" max="12044" width="0" style="32" hidden="1" customWidth="1"/>
    <col min="12045" max="12045" width="9.375" style="32" customWidth="1"/>
    <col min="12046" max="12046" width="10" style="32" customWidth="1"/>
    <col min="12047" max="12047" width="9" style="32"/>
    <col min="12048" max="12048" width="6" style="32" customWidth="1"/>
    <col min="12049" max="12288" width="9" style="32"/>
    <col min="12289" max="12289" width="3.875" style="32" bestFit="1" customWidth="1"/>
    <col min="12290" max="12294" width="17.375" style="32" customWidth="1"/>
    <col min="12295" max="12297" width="15.625" style="32" customWidth="1"/>
    <col min="12298" max="12298" width="10.75" style="32" customWidth="1"/>
    <col min="12299" max="12300" width="0" style="32" hidden="1" customWidth="1"/>
    <col min="12301" max="12301" width="9.375" style="32" customWidth="1"/>
    <col min="12302" max="12302" width="10" style="32" customWidth="1"/>
    <col min="12303" max="12303" width="9" style="32"/>
    <col min="12304" max="12304" width="6" style="32" customWidth="1"/>
    <col min="12305" max="12544" width="9" style="32"/>
    <col min="12545" max="12545" width="3.875" style="32" bestFit="1" customWidth="1"/>
    <col min="12546" max="12550" width="17.375" style="32" customWidth="1"/>
    <col min="12551" max="12553" width="15.625" style="32" customWidth="1"/>
    <col min="12554" max="12554" width="10.75" style="32" customWidth="1"/>
    <col min="12555" max="12556" width="0" style="32" hidden="1" customWidth="1"/>
    <col min="12557" max="12557" width="9.375" style="32" customWidth="1"/>
    <col min="12558" max="12558" width="10" style="32" customWidth="1"/>
    <col min="12559" max="12559" width="9" style="32"/>
    <col min="12560" max="12560" width="6" style="32" customWidth="1"/>
    <col min="12561" max="12800" width="9" style="32"/>
    <col min="12801" max="12801" width="3.875" style="32" bestFit="1" customWidth="1"/>
    <col min="12802" max="12806" width="17.375" style="32" customWidth="1"/>
    <col min="12807" max="12809" width="15.625" style="32" customWidth="1"/>
    <col min="12810" max="12810" width="10.75" style="32" customWidth="1"/>
    <col min="12811" max="12812" width="0" style="32" hidden="1" customWidth="1"/>
    <col min="12813" max="12813" width="9.375" style="32" customWidth="1"/>
    <col min="12814" max="12814" width="10" style="32" customWidth="1"/>
    <col min="12815" max="12815" width="9" style="32"/>
    <col min="12816" max="12816" width="6" style="32" customWidth="1"/>
    <col min="12817" max="13056" width="9" style="32"/>
    <col min="13057" max="13057" width="3.875" style="32" bestFit="1" customWidth="1"/>
    <col min="13058" max="13062" width="17.375" style="32" customWidth="1"/>
    <col min="13063" max="13065" width="15.625" style="32" customWidth="1"/>
    <col min="13066" max="13066" width="10.75" style="32" customWidth="1"/>
    <col min="13067" max="13068" width="0" style="32" hidden="1" customWidth="1"/>
    <col min="13069" max="13069" width="9.375" style="32" customWidth="1"/>
    <col min="13070" max="13070" width="10" style="32" customWidth="1"/>
    <col min="13071" max="13071" width="9" style="32"/>
    <col min="13072" max="13072" width="6" style="32" customWidth="1"/>
    <col min="13073" max="13312" width="9" style="32"/>
    <col min="13313" max="13313" width="3.875" style="32" bestFit="1" customWidth="1"/>
    <col min="13314" max="13318" width="17.375" style="32" customWidth="1"/>
    <col min="13319" max="13321" width="15.625" style="32" customWidth="1"/>
    <col min="13322" max="13322" width="10.75" style="32" customWidth="1"/>
    <col min="13323" max="13324" width="0" style="32" hidden="1" customWidth="1"/>
    <col min="13325" max="13325" width="9.375" style="32" customWidth="1"/>
    <col min="13326" max="13326" width="10" style="32" customWidth="1"/>
    <col min="13327" max="13327" width="9" style="32"/>
    <col min="13328" max="13328" width="6" style="32" customWidth="1"/>
    <col min="13329" max="13568" width="9" style="32"/>
    <col min="13569" max="13569" width="3.875" style="32" bestFit="1" customWidth="1"/>
    <col min="13570" max="13574" width="17.375" style="32" customWidth="1"/>
    <col min="13575" max="13577" width="15.625" style="32" customWidth="1"/>
    <col min="13578" max="13578" width="10.75" style="32" customWidth="1"/>
    <col min="13579" max="13580" width="0" style="32" hidden="1" customWidth="1"/>
    <col min="13581" max="13581" width="9.375" style="32" customWidth="1"/>
    <col min="13582" max="13582" width="10" style="32" customWidth="1"/>
    <col min="13583" max="13583" width="9" style="32"/>
    <col min="13584" max="13584" width="6" style="32" customWidth="1"/>
    <col min="13585" max="13824" width="9" style="32"/>
    <col min="13825" max="13825" width="3.875" style="32" bestFit="1" customWidth="1"/>
    <col min="13826" max="13830" width="17.375" style="32" customWidth="1"/>
    <col min="13831" max="13833" width="15.625" style="32" customWidth="1"/>
    <col min="13834" max="13834" width="10.75" style="32" customWidth="1"/>
    <col min="13835" max="13836" width="0" style="32" hidden="1" customWidth="1"/>
    <col min="13837" max="13837" width="9.375" style="32" customWidth="1"/>
    <col min="13838" max="13838" width="10" style="32" customWidth="1"/>
    <col min="13839" max="13839" width="9" style="32"/>
    <col min="13840" max="13840" width="6" style="32" customWidth="1"/>
    <col min="13841" max="14080" width="9" style="32"/>
    <col min="14081" max="14081" width="3.875" style="32" bestFit="1" customWidth="1"/>
    <col min="14082" max="14086" width="17.375" style="32" customWidth="1"/>
    <col min="14087" max="14089" width="15.625" style="32" customWidth="1"/>
    <col min="14090" max="14090" width="10.75" style="32" customWidth="1"/>
    <col min="14091" max="14092" width="0" style="32" hidden="1" customWidth="1"/>
    <col min="14093" max="14093" width="9.375" style="32" customWidth="1"/>
    <col min="14094" max="14094" width="10" style="32" customWidth="1"/>
    <col min="14095" max="14095" width="9" style="32"/>
    <col min="14096" max="14096" width="6" style="32" customWidth="1"/>
    <col min="14097" max="14336" width="9" style="32"/>
    <col min="14337" max="14337" width="3.875" style="32" bestFit="1" customWidth="1"/>
    <col min="14338" max="14342" width="17.375" style="32" customWidth="1"/>
    <col min="14343" max="14345" width="15.625" style="32" customWidth="1"/>
    <col min="14346" max="14346" width="10.75" style="32" customWidth="1"/>
    <col min="14347" max="14348" width="0" style="32" hidden="1" customWidth="1"/>
    <col min="14349" max="14349" width="9.375" style="32" customWidth="1"/>
    <col min="14350" max="14350" width="10" style="32" customWidth="1"/>
    <col min="14351" max="14351" width="9" style="32"/>
    <col min="14352" max="14352" width="6" style="32" customWidth="1"/>
    <col min="14353" max="14592" width="9" style="32"/>
    <col min="14593" max="14593" width="3.875" style="32" bestFit="1" customWidth="1"/>
    <col min="14594" max="14598" width="17.375" style="32" customWidth="1"/>
    <col min="14599" max="14601" width="15.625" style="32" customWidth="1"/>
    <col min="14602" max="14602" width="10.75" style="32" customWidth="1"/>
    <col min="14603" max="14604" width="0" style="32" hidden="1" customWidth="1"/>
    <col min="14605" max="14605" width="9.375" style="32" customWidth="1"/>
    <col min="14606" max="14606" width="10" style="32" customWidth="1"/>
    <col min="14607" max="14607" width="9" style="32"/>
    <col min="14608" max="14608" width="6" style="32" customWidth="1"/>
    <col min="14609" max="14848" width="9" style="32"/>
    <col min="14849" max="14849" width="3.875" style="32" bestFit="1" customWidth="1"/>
    <col min="14850" max="14854" width="17.375" style="32" customWidth="1"/>
    <col min="14855" max="14857" width="15.625" style="32" customWidth="1"/>
    <col min="14858" max="14858" width="10.75" style="32" customWidth="1"/>
    <col min="14859" max="14860" width="0" style="32" hidden="1" customWidth="1"/>
    <col min="14861" max="14861" width="9.375" style="32" customWidth="1"/>
    <col min="14862" max="14862" width="10" style="32" customWidth="1"/>
    <col min="14863" max="14863" width="9" style="32"/>
    <col min="14864" max="14864" width="6" style="32" customWidth="1"/>
    <col min="14865" max="15104" width="9" style="32"/>
    <col min="15105" max="15105" width="3.875" style="32" bestFit="1" customWidth="1"/>
    <col min="15106" max="15110" width="17.375" style="32" customWidth="1"/>
    <col min="15111" max="15113" width="15.625" style="32" customWidth="1"/>
    <col min="15114" max="15114" width="10.75" style="32" customWidth="1"/>
    <col min="15115" max="15116" width="0" style="32" hidden="1" customWidth="1"/>
    <col min="15117" max="15117" width="9.375" style="32" customWidth="1"/>
    <col min="15118" max="15118" width="10" style="32" customWidth="1"/>
    <col min="15119" max="15119" width="9" style="32"/>
    <col min="15120" max="15120" width="6" style="32" customWidth="1"/>
    <col min="15121" max="15360" width="9" style="32"/>
    <col min="15361" max="15361" width="3.875" style="32" bestFit="1" customWidth="1"/>
    <col min="15362" max="15366" width="17.375" style="32" customWidth="1"/>
    <col min="15367" max="15369" width="15.625" style="32" customWidth="1"/>
    <col min="15370" max="15370" width="10.75" style="32" customWidth="1"/>
    <col min="15371" max="15372" width="0" style="32" hidden="1" customWidth="1"/>
    <col min="15373" max="15373" width="9.375" style="32" customWidth="1"/>
    <col min="15374" max="15374" width="10" style="32" customWidth="1"/>
    <col min="15375" max="15375" width="9" style="32"/>
    <col min="15376" max="15376" width="6" style="32" customWidth="1"/>
    <col min="15377" max="15616" width="9" style="32"/>
    <col min="15617" max="15617" width="3.875" style="32" bestFit="1" customWidth="1"/>
    <col min="15618" max="15622" width="17.375" style="32" customWidth="1"/>
    <col min="15623" max="15625" width="15.625" style="32" customWidth="1"/>
    <col min="15626" max="15626" width="10.75" style="32" customWidth="1"/>
    <col min="15627" max="15628" width="0" style="32" hidden="1" customWidth="1"/>
    <col min="15629" max="15629" width="9.375" style="32" customWidth="1"/>
    <col min="15630" max="15630" width="10" style="32" customWidth="1"/>
    <col min="15631" max="15631" width="9" style="32"/>
    <col min="15632" max="15632" width="6" style="32" customWidth="1"/>
    <col min="15633" max="15872" width="9" style="32"/>
    <col min="15873" max="15873" width="3.875" style="32" bestFit="1" customWidth="1"/>
    <col min="15874" max="15878" width="17.375" style="32" customWidth="1"/>
    <col min="15879" max="15881" width="15.625" style="32" customWidth="1"/>
    <col min="15882" max="15882" width="10.75" style="32" customWidth="1"/>
    <col min="15883" max="15884" width="0" style="32" hidden="1" customWidth="1"/>
    <col min="15885" max="15885" width="9.375" style="32" customWidth="1"/>
    <col min="15886" max="15886" width="10" style="32" customWidth="1"/>
    <col min="15887" max="15887" width="9" style="32"/>
    <col min="15888" max="15888" width="6" style="32" customWidth="1"/>
    <col min="15889" max="16128" width="9" style="32"/>
    <col min="16129" max="16129" width="3.875" style="32" bestFit="1" customWidth="1"/>
    <col min="16130" max="16134" width="17.375" style="32" customWidth="1"/>
    <col min="16135" max="16137" width="15.625" style="32" customWidth="1"/>
    <col min="16138" max="16138" width="10.75" style="32" customWidth="1"/>
    <col min="16139" max="16140" width="0" style="32" hidden="1" customWidth="1"/>
    <col min="16141" max="16141" width="9.375" style="32" customWidth="1"/>
    <col min="16142" max="16142" width="10" style="32" customWidth="1"/>
    <col min="16143" max="16143" width="9" style="32"/>
    <col min="16144" max="16144" width="6" style="32" customWidth="1"/>
    <col min="16145" max="16384" width="9" style="32"/>
  </cols>
  <sheetData>
    <row r="1" spans="1:13" ht="28.5" x14ac:dyDescent="0.15">
      <c r="B1" s="169" t="s">
        <v>135</v>
      </c>
      <c r="C1" s="169"/>
      <c r="D1" s="169"/>
      <c r="E1" s="169"/>
    </row>
    <row r="2" spans="1:13" ht="7.5" customHeight="1" x14ac:dyDescent="0.15"/>
    <row r="3" spans="1:13" ht="22.5" customHeight="1" x14ac:dyDescent="0.15">
      <c r="A3" s="33" t="s">
        <v>39</v>
      </c>
      <c r="B3" s="34" t="s">
        <v>70</v>
      </c>
      <c r="C3" s="35"/>
      <c r="D3" s="35"/>
      <c r="E3" s="35"/>
      <c r="F3" s="35"/>
      <c r="G3" s="35"/>
      <c r="H3" s="35"/>
      <c r="I3" s="35"/>
      <c r="J3" s="35"/>
    </row>
    <row r="4" spans="1:13" ht="26.25" customHeight="1" x14ac:dyDescent="0.15">
      <c r="A4" s="36"/>
      <c r="B4" s="37"/>
      <c r="C4" s="38" t="s">
        <v>13</v>
      </c>
      <c r="D4" s="38" t="s">
        <v>14</v>
      </c>
      <c r="E4" s="38" t="s">
        <v>116</v>
      </c>
      <c r="F4" s="38" t="s">
        <v>117</v>
      </c>
      <c r="G4" s="38" t="s">
        <v>118</v>
      </c>
      <c r="H4" s="148" t="s">
        <v>124</v>
      </c>
      <c r="I4" s="141" t="s">
        <v>119</v>
      </c>
      <c r="K4" s="39" t="s">
        <v>15</v>
      </c>
      <c r="L4" s="39" t="s">
        <v>16</v>
      </c>
      <c r="M4" s="39" t="s">
        <v>129</v>
      </c>
    </row>
    <row r="5" spans="1:13" ht="26.25" customHeight="1" x14ac:dyDescent="0.15">
      <c r="A5" s="36"/>
      <c r="B5" s="37">
        <v>1</v>
      </c>
      <c r="C5" s="139"/>
      <c r="D5" s="140"/>
      <c r="E5" s="151"/>
      <c r="F5" s="151"/>
      <c r="G5" s="161"/>
      <c r="H5" s="149">
        <f>IF(AND(E5&lt;&gt;"",F5&lt;&gt;""),MAX(MIN(E5,100000)+MIN(F5,100000)-100000,0),0)</f>
        <v>0</v>
      </c>
      <c r="I5" s="146">
        <f>IFERROR(IF(E5+F5+G5-H5&gt;0,E5+F5+G5-H5,0),"")</f>
        <v>0</v>
      </c>
      <c r="J5" s="40" t="str">
        <f>IF(COUNTA(C5:G5)=0,"",((IF(AND(C5&lt;&gt;"",D5&lt;&gt;""),"OK","すべて入力してください"))))</f>
        <v/>
      </c>
      <c r="K5" s="41" t="str">
        <f t="shared" ref="K5:K12" si="0">IF(C5="","",IF((I5-430000)&lt;0,0,IF(I5&lt;=24000000,I5-430000,IF(AND(I5&gt;24000000,I5&lt;=24500000),I5-290000,IF(AND(I5&gt;24500000,I5&lt;=25000000),I5-150000,I5)))))</f>
        <v/>
      </c>
      <c r="L5" s="39" t="str">
        <f t="shared" ref="L5:L12" si="1">IF(D5="","",IF(AND(D5&gt;=40,D5&lt;65),"該当","非該当"))</f>
        <v/>
      </c>
      <c r="M5" s="164">
        <f>IF(AND(D5&gt;=65,F5&gt;0),MIN(F5,150000),0)</f>
        <v>0</v>
      </c>
    </row>
    <row r="6" spans="1:13" ht="26.25" customHeight="1" x14ac:dyDescent="0.15">
      <c r="A6" s="36"/>
      <c r="B6" s="37">
        <v>2</v>
      </c>
      <c r="C6" s="139"/>
      <c r="D6" s="140"/>
      <c r="E6" s="151"/>
      <c r="F6" s="151"/>
      <c r="G6" s="161"/>
      <c r="H6" s="149">
        <f>IF(AND(E6&lt;&gt;"",F6&lt;&gt;""),MAX(MIN(E6,100000)+MIN(F6,100000)-100000,0),0)</f>
        <v>0</v>
      </c>
      <c r="I6" s="146">
        <f t="shared" ref="I6:I12" si="2">IFERROR(IF(E6+F6+G6-H6&gt;0,E6+F6+G6-H6,0),"")</f>
        <v>0</v>
      </c>
      <c r="J6" s="40" t="str">
        <f t="shared" ref="J6:J12" si="3">IF(COUNTA(C6:G6)=0,"",((IF(AND(C6&lt;&gt;"",D6&lt;&gt;""),"OK","すべて入力してください"))))</f>
        <v/>
      </c>
      <c r="K6" s="142" t="str">
        <f t="shared" si="0"/>
        <v/>
      </c>
      <c r="L6" s="39" t="str">
        <f t="shared" si="1"/>
        <v/>
      </c>
      <c r="M6" s="164">
        <f>IF(AND(D6&gt;=65,F6&gt;0),MIN(F6,150000),0)</f>
        <v>0</v>
      </c>
    </row>
    <row r="7" spans="1:13" ht="26.25" customHeight="1" x14ac:dyDescent="0.15">
      <c r="A7" s="36"/>
      <c r="B7" s="37">
        <v>3</v>
      </c>
      <c r="C7" s="139"/>
      <c r="D7" s="140"/>
      <c r="E7" s="151"/>
      <c r="F7" s="151"/>
      <c r="G7" s="161"/>
      <c r="H7" s="149">
        <f t="shared" ref="H7:H12" si="4">IF(AND(E7&lt;&gt;"",F7&lt;&gt;""),MAX(MIN(E7,100000)+MIN(F7,100000)-100000,0),0)</f>
        <v>0</v>
      </c>
      <c r="I7" s="146">
        <f t="shared" si="2"/>
        <v>0</v>
      </c>
      <c r="J7" s="40" t="str">
        <f t="shared" si="3"/>
        <v/>
      </c>
      <c r="K7" s="142" t="str">
        <f t="shared" si="0"/>
        <v/>
      </c>
      <c r="L7" s="39" t="str">
        <f t="shared" si="1"/>
        <v/>
      </c>
      <c r="M7" s="164">
        <f t="shared" ref="M7:M12" si="5">IF(AND(D7&gt;65,F7&gt;0),MIN(F7,150000),0)</f>
        <v>0</v>
      </c>
    </row>
    <row r="8" spans="1:13" ht="26.25" customHeight="1" x14ac:dyDescent="0.15">
      <c r="A8" s="36"/>
      <c r="B8" s="37">
        <v>4</v>
      </c>
      <c r="C8" s="139"/>
      <c r="D8" s="140"/>
      <c r="E8" s="151"/>
      <c r="F8" s="151"/>
      <c r="G8" s="161"/>
      <c r="H8" s="149">
        <f t="shared" si="4"/>
        <v>0</v>
      </c>
      <c r="I8" s="146">
        <f t="shared" si="2"/>
        <v>0</v>
      </c>
      <c r="J8" s="40" t="str">
        <f t="shared" si="3"/>
        <v/>
      </c>
      <c r="K8" s="142" t="str">
        <f t="shared" si="0"/>
        <v/>
      </c>
      <c r="L8" s="39" t="str">
        <f t="shared" si="1"/>
        <v/>
      </c>
      <c r="M8" s="164">
        <f t="shared" si="5"/>
        <v>0</v>
      </c>
    </row>
    <row r="9" spans="1:13" ht="26.25" customHeight="1" x14ac:dyDescent="0.15">
      <c r="A9" s="36"/>
      <c r="B9" s="37">
        <v>5</v>
      </c>
      <c r="C9" s="139"/>
      <c r="D9" s="140"/>
      <c r="E9" s="151"/>
      <c r="F9" s="151"/>
      <c r="G9" s="161"/>
      <c r="H9" s="149">
        <f t="shared" si="4"/>
        <v>0</v>
      </c>
      <c r="I9" s="146">
        <f t="shared" si="2"/>
        <v>0</v>
      </c>
      <c r="J9" s="40" t="str">
        <f t="shared" si="3"/>
        <v/>
      </c>
      <c r="K9" s="142" t="str">
        <f t="shared" si="0"/>
        <v/>
      </c>
      <c r="L9" s="39" t="str">
        <f t="shared" si="1"/>
        <v/>
      </c>
      <c r="M9" s="164">
        <f t="shared" si="5"/>
        <v>0</v>
      </c>
    </row>
    <row r="10" spans="1:13" ht="26.25" customHeight="1" x14ac:dyDescent="0.15">
      <c r="A10" s="36"/>
      <c r="B10" s="37">
        <v>6</v>
      </c>
      <c r="C10" s="139"/>
      <c r="D10" s="140"/>
      <c r="E10" s="151"/>
      <c r="F10" s="151"/>
      <c r="G10" s="161"/>
      <c r="H10" s="149">
        <f t="shared" si="4"/>
        <v>0</v>
      </c>
      <c r="I10" s="146">
        <f t="shared" si="2"/>
        <v>0</v>
      </c>
      <c r="J10" s="40" t="str">
        <f t="shared" si="3"/>
        <v/>
      </c>
      <c r="K10" s="142" t="str">
        <f t="shared" si="0"/>
        <v/>
      </c>
      <c r="L10" s="39" t="str">
        <f t="shared" si="1"/>
        <v/>
      </c>
      <c r="M10" s="164">
        <f t="shared" si="5"/>
        <v>0</v>
      </c>
    </row>
    <row r="11" spans="1:13" ht="26.25" customHeight="1" x14ac:dyDescent="0.15">
      <c r="A11" s="36"/>
      <c r="B11" s="37">
        <v>7</v>
      </c>
      <c r="C11" s="139"/>
      <c r="D11" s="140"/>
      <c r="E11" s="151"/>
      <c r="F11" s="159"/>
      <c r="G11" s="161"/>
      <c r="H11" s="149">
        <f t="shared" si="4"/>
        <v>0</v>
      </c>
      <c r="I11" s="146">
        <f t="shared" si="2"/>
        <v>0</v>
      </c>
      <c r="J11" s="40" t="str">
        <f t="shared" si="3"/>
        <v/>
      </c>
      <c r="K11" s="142" t="str">
        <f t="shared" si="0"/>
        <v/>
      </c>
      <c r="L11" s="39" t="str">
        <f t="shared" si="1"/>
        <v/>
      </c>
      <c r="M11" s="164">
        <f t="shared" si="5"/>
        <v>0</v>
      </c>
    </row>
    <row r="12" spans="1:13" ht="26.25" customHeight="1" x14ac:dyDescent="0.15">
      <c r="A12" s="36"/>
      <c r="B12" s="37">
        <v>8</v>
      </c>
      <c r="C12" s="139"/>
      <c r="D12" s="140"/>
      <c r="E12" s="151"/>
      <c r="F12" s="151"/>
      <c r="G12" s="161"/>
      <c r="H12" s="149">
        <f t="shared" si="4"/>
        <v>0</v>
      </c>
      <c r="I12" s="146">
        <f t="shared" si="2"/>
        <v>0</v>
      </c>
      <c r="J12" s="40" t="str">
        <f t="shared" si="3"/>
        <v/>
      </c>
      <c r="K12" s="142" t="str">
        <f t="shared" si="0"/>
        <v/>
      </c>
      <c r="L12" s="39" t="str">
        <f t="shared" si="1"/>
        <v/>
      </c>
      <c r="M12" s="164">
        <f t="shared" si="5"/>
        <v>0</v>
      </c>
    </row>
    <row r="13" spans="1:13" ht="7.5" customHeight="1" x14ac:dyDescent="0.15">
      <c r="A13" s="36"/>
      <c r="B13" s="35"/>
      <c r="C13" s="35"/>
      <c r="D13" s="35"/>
      <c r="E13" s="35"/>
      <c r="F13" s="35"/>
      <c r="G13" s="35"/>
      <c r="H13" s="35"/>
      <c r="I13" s="35"/>
      <c r="J13" s="35"/>
    </row>
    <row r="14" spans="1:13" ht="22.5" customHeight="1" x14ac:dyDescent="0.15">
      <c r="A14" s="33" t="s">
        <v>40</v>
      </c>
      <c r="B14" s="34" t="s">
        <v>17</v>
      </c>
      <c r="C14" s="35"/>
      <c r="D14" s="35"/>
      <c r="E14" s="35"/>
      <c r="F14" s="35"/>
      <c r="G14" s="35"/>
      <c r="H14" s="35"/>
      <c r="I14" s="35"/>
      <c r="J14" s="35"/>
      <c r="K14" s="42"/>
      <c r="L14" s="42"/>
    </row>
    <row r="15" spans="1:13" ht="22.5" customHeight="1" x14ac:dyDescent="0.15">
      <c r="A15" s="36"/>
      <c r="B15" s="160"/>
      <c r="C15" s="40" t="str">
        <f>IF(AND(F5="OK",B15=""),"入力してください",(IF(B15=1,"「はい」　算定結果を確認してください",IF(B15=2,"「いいえ」　Q３を入力してください",""))))</f>
        <v/>
      </c>
      <c r="D15" s="35"/>
      <c r="E15" s="35"/>
      <c r="F15" s="35"/>
      <c r="G15" s="35"/>
      <c r="H15" s="35"/>
      <c r="I15" s="35"/>
      <c r="J15" s="35"/>
      <c r="K15" s="42"/>
      <c r="L15" s="42"/>
    </row>
    <row r="16" spans="1:13" ht="19.5" x14ac:dyDescent="0.15">
      <c r="A16" s="36"/>
      <c r="B16" s="35"/>
      <c r="C16" s="35"/>
      <c r="D16" s="35"/>
      <c r="E16" s="35"/>
      <c r="F16" s="35"/>
      <c r="G16" s="35"/>
      <c r="H16" s="35"/>
      <c r="I16" s="35"/>
      <c r="J16" s="35"/>
      <c r="K16" s="42"/>
      <c r="L16" s="42"/>
    </row>
    <row r="17" spans="1:17" ht="22.5" customHeight="1" x14ac:dyDescent="0.15">
      <c r="A17" s="33" t="s">
        <v>18</v>
      </c>
      <c r="B17" s="34" t="s">
        <v>41</v>
      </c>
      <c r="C17" s="35"/>
      <c r="D17" s="35"/>
      <c r="E17" s="35"/>
      <c r="F17" s="35"/>
    </row>
    <row r="18" spans="1:17" ht="22.5" customHeight="1" x14ac:dyDescent="0.15">
      <c r="A18" s="35"/>
      <c r="B18" s="37" t="s">
        <v>42</v>
      </c>
      <c r="C18" s="157"/>
      <c r="D18" s="150"/>
      <c r="E18" s="40" t="str">
        <f>IF(B15="","",IF(B15=1,"入力しないでください",IF(D18&lt;&gt;"","算定結果を確認してください","入力してください")))</f>
        <v/>
      </c>
      <c r="F18" s="35"/>
      <c r="G18" s="152" t="str">
        <f>IF(AND(OR(C18="給与",C18="年金(65歳以上)",C18="年金(65歳未満)"),D18&gt;0),1,"0")</f>
        <v>0</v>
      </c>
      <c r="M18" s="39">
        <f>IF(AND(C18="年金(65歳以上)",D18&gt;0),MIN(D18,150000),0)</f>
        <v>0</v>
      </c>
    </row>
    <row r="19" spans="1:17" ht="13.5" customHeight="1" x14ac:dyDescent="0.15">
      <c r="A19" s="35"/>
      <c r="B19" s="43"/>
      <c r="C19" s="43"/>
      <c r="D19" s="35"/>
      <c r="E19" s="35"/>
      <c r="M19" s="165">
        <f>SUM(M5:M12)+M18</f>
        <v>0</v>
      </c>
    </row>
    <row r="20" spans="1:17" ht="13.5" customHeight="1" thickBot="1" x14ac:dyDescent="0.2">
      <c r="A20" s="35"/>
      <c r="B20" s="43"/>
      <c r="C20" s="43"/>
      <c r="D20" s="35"/>
      <c r="E20" s="35"/>
      <c r="F20" s="35"/>
    </row>
    <row r="21" spans="1:17" ht="28.5" x14ac:dyDescent="0.15">
      <c r="A21" s="44"/>
      <c r="B21" s="45" t="s">
        <v>19</v>
      </c>
      <c r="C21" s="46"/>
      <c r="D21" s="143"/>
      <c r="E21" s="46"/>
      <c r="F21" s="46"/>
      <c r="G21" s="47"/>
      <c r="H21" s="47"/>
      <c r="I21" s="47"/>
      <c r="J21" s="48"/>
    </row>
    <row r="22" spans="1:17" ht="26.25" customHeight="1" x14ac:dyDescent="0.15">
      <c r="A22" s="49"/>
      <c r="B22" s="50" t="s">
        <v>43</v>
      </c>
      <c r="C22" s="51">
        <f>IF(COUNTA(I5:I12)=0,"",SUM(I5:I12)+D18-M19)</f>
        <v>0</v>
      </c>
      <c r="D22" s="52"/>
      <c r="E22" s="52"/>
      <c r="F22" s="147" t="s">
        <v>121</v>
      </c>
      <c r="G22" s="145"/>
      <c r="H22" s="53"/>
      <c r="I22" s="53"/>
      <c r="J22" s="54"/>
    </row>
    <row r="23" spans="1:17" ht="26.25" customHeight="1" x14ac:dyDescent="0.15">
      <c r="A23" s="49"/>
      <c r="B23" s="50" t="s">
        <v>25</v>
      </c>
      <c r="C23" s="55" t="str">
        <f>IF(C5="","",IF(C22&lt;=C26+(G23-1)*100000,B26,IF(C22&lt;=(C26+C27*C33+(G23-1)*100000),B27,IF(C22&lt;=(C26+C28*C33+(G23-1)*100000),B28,"軽減なし"))))</f>
        <v/>
      </c>
      <c r="D23" s="52"/>
      <c r="E23" s="52"/>
      <c r="F23" s="144" t="s">
        <v>120</v>
      </c>
      <c r="G23" s="155">
        <f>COUNTIF(E5:E12,"&gt;0")+COUNTIFS(F5:F12,"&gt;0",E5:E12,"")+COUNTIFS(F5:F12,"&gt;0",E5:E12,"=0")+G18</f>
        <v>0</v>
      </c>
      <c r="H23" s="53"/>
      <c r="I23" s="167"/>
      <c r="J23" s="54"/>
    </row>
    <row r="24" spans="1:17" ht="26.25" customHeight="1" x14ac:dyDescent="0.15">
      <c r="A24" s="49"/>
      <c r="B24" s="52"/>
      <c r="C24" s="56"/>
      <c r="D24" s="52"/>
      <c r="E24" s="52"/>
      <c r="F24" s="52"/>
      <c r="G24" s="57"/>
      <c r="H24" s="52"/>
      <c r="I24" s="52"/>
      <c r="J24" s="58"/>
      <c r="K24" s="59"/>
      <c r="L24" s="59"/>
      <c r="M24" s="59"/>
      <c r="N24" s="59"/>
      <c r="O24" s="59"/>
      <c r="P24" s="59"/>
    </row>
    <row r="25" spans="1:17" ht="26.25" customHeight="1" x14ac:dyDescent="0.15">
      <c r="A25" s="49"/>
      <c r="B25" s="60" t="s">
        <v>44</v>
      </c>
      <c r="C25" s="178" t="s">
        <v>45</v>
      </c>
      <c r="D25" s="178"/>
      <c r="E25" s="178"/>
      <c r="F25" s="178"/>
      <c r="G25" s="178"/>
      <c r="H25" s="178"/>
      <c r="I25" s="178"/>
      <c r="J25" s="54"/>
      <c r="K25" s="59"/>
      <c r="L25" s="59"/>
    </row>
    <row r="26" spans="1:17" ht="26.25" customHeight="1" x14ac:dyDescent="0.15">
      <c r="A26" s="49"/>
      <c r="B26" s="60" t="s">
        <v>46</v>
      </c>
      <c r="C26" s="176">
        <v>430000</v>
      </c>
      <c r="D26" s="176"/>
      <c r="E26" s="176"/>
      <c r="F26" s="176"/>
      <c r="G26" s="176"/>
      <c r="H26" s="176"/>
      <c r="I26" s="176"/>
      <c r="J26" s="54"/>
    </row>
    <row r="27" spans="1:17" ht="26.25" customHeight="1" x14ac:dyDescent="0.15">
      <c r="A27" s="61"/>
      <c r="B27" s="60" t="s">
        <v>47</v>
      </c>
      <c r="C27" s="177">
        <v>295000</v>
      </c>
      <c r="D27" s="177"/>
      <c r="E27" s="177"/>
      <c r="F27" s="177"/>
      <c r="G27" s="177"/>
      <c r="H27" s="177"/>
      <c r="I27" s="177"/>
      <c r="J27" s="54"/>
    </row>
    <row r="28" spans="1:17" ht="26.25" customHeight="1" x14ac:dyDescent="0.15">
      <c r="A28" s="49"/>
      <c r="B28" s="60" t="s">
        <v>48</v>
      </c>
      <c r="C28" s="177">
        <v>545000</v>
      </c>
      <c r="D28" s="177"/>
      <c r="E28" s="177"/>
      <c r="F28" s="177"/>
      <c r="G28" s="177"/>
      <c r="H28" s="177"/>
      <c r="I28" s="177"/>
      <c r="J28" s="54"/>
    </row>
    <row r="29" spans="1:17" ht="20.25" customHeight="1" x14ac:dyDescent="0.45">
      <c r="A29" s="49"/>
      <c r="B29" s="62" t="s">
        <v>125</v>
      </c>
      <c r="C29" s="52"/>
      <c r="D29" s="52"/>
      <c r="E29" s="52"/>
      <c r="F29" s="53"/>
      <c r="G29" s="53"/>
      <c r="H29" s="53"/>
      <c r="I29" s="53"/>
      <c r="J29" s="54"/>
      <c r="K29" s="59"/>
    </row>
    <row r="30" spans="1:17" ht="20.25" customHeight="1" x14ac:dyDescent="0.15">
      <c r="A30" s="49"/>
      <c r="B30" s="57" t="s">
        <v>131</v>
      </c>
      <c r="C30" s="52"/>
      <c r="D30" s="52"/>
      <c r="E30" s="52"/>
      <c r="F30" s="53"/>
      <c r="G30" s="53"/>
      <c r="H30" s="53"/>
      <c r="I30" s="53"/>
      <c r="J30" s="54"/>
      <c r="K30" s="59"/>
      <c r="L30" s="59"/>
      <c r="M30" s="59"/>
      <c r="N30" s="59"/>
      <c r="O30" s="59"/>
      <c r="P30" s="59"/>
    </row>
    <row r="31" spans="1:17" ht="26.25" customHeight="1" x14ac:dyDescent="0.15">
      <c r="A31" s="49"/>
      <c r="B31" s="52"/>
      <c r="C31" s="52"/>
      <c r="D31" s="52"/>
      <c r="E31" s="52"/>
      <c r="F31" s="52"/>
      <c r="G31" s="53"/>
      <c r="H31" s="53"/>
      <c r="I31" s="53"/>
      <c r="J31" s="54"/>
      <c r="L31" s="59"/>
      <c r="M31" s="59"/>
      <c r="N31" s="59"/>
      <c r="O31" s="59"/>
      <c r="P31" s="59"/>
    </row>
    <row r="32" spans="1:17" ht="26.25" customHeight="1" x14ac:dyDescent="0.15">
      <c r="A32" s="49"/>
      <c r="B32" s="60"/>
      <c r="C32" s="60" t="s">
        <v>20</v>
      </c>
      <c r="D32" s="162" t="s">
        <v>133</v>
      </c>
      <c r="E32" s="60" t="s">
        <v>21</v>
      </c>
      <c r="F32" s="52"/>
      <c r="G32" s="53"/>
      <c r="H32" s="53"/>
      <c r="I32" s="53"/>
      <c r="J32" s="54"/>
      <c r="K32" s="59"/>
      <c r="M32" s="59"/>
      <c r="N32" s="59"/>
      <c r="O32" s="59"/>
      <c r="P32" s="59"/>
      <c r="Q32" s="59"/>
    </row>
    <row r="33" spans="1:17" ht="26.25" customHeight="1" x14ac:dyDescent="0.15">
      <c r="A33" s="49"/>
      <c r="B33" s="50" t="s">
        <v>22</v>
      </c>
      <c r="C33" s="50">
        <f>COUNTA(D5:D12)</f>
        <v>0</v>
      </c>
      <c r="D33" s="144">
        <f>COUNTIF(D5:D12,"&lt;6")</f>
        <v>0</v>
      </c>
      <c r="E33" s="51">
        <f>SUM(K5:K12)</f>
        <v>0</v>
      </c>
      <c r="F33" s="138"/>
      <c r="G33" s="53"/>
      <c r="H33" s="53"/>
      <c r="I33" s="53"/>
      <c r="J33" s="54"/>
      <c r="K33" s="59"/>
      <c r="M33" s="59"/>
      <c r="N33" s="59"/>
      <c r="O33" s="59"/>
      <c r="P33" s="59"/>
      <c r="Q33" s="59"/>
    </row>
    <row r="34" spans="1:17" ht="26.25" customHeight="1" x14ac:dyDescent="0.15">
      <c r="A34" s="49"/>
      <c r="B34" s="50" t="s">
        <v>23</v>
      </c>
      <c r="C34" s="50">
        <f>C33</f>
        <v>0</v>
      </c>
      <c r="D34" s="144">
        <f>D33</f>
        <v>0</v>
      </c>
      <c r="E34" s="63">
        <f>E33</f>
        <v>0</v>
      </c>
      <c r="F34" s="52"/>
      <c r="G34" s="53"/>
      <c r="H34" s="53"/>
      <c r="I34" s="53"/>
      <c r="J34" s="54"/>
      <c r="K34" s="59"/>
      <c r="M34" s="59"/>
      <c r="N34" s="59"/>
      <c r="O34" s="59"/>
      <c r="P34" s="59"/>
      <c r="Q34" s="59"/>
    </row>
    <row r="35" spans="1:17" ht="26.25" customHeight="1" x14ac:dyDescent="0.15">
      <c r="A35" s="49"/>
      <c r="B35" s="64" t="s">
        <v>24</v>
      </c>
      <c r="C35" s="50">
        <f>COUNTIF(D5:D12,"&gt;=40")-COUNTIF(D5:D12,"&gt;64")</f>
        <v>0</v>
      </c>
      <c r="D35" s="144">
        <v>0</v>
      </c>
      <c r="E35" s="63">
        <f>SUMIF(L5:L12,"該当",K5:K12)</f>
        <v>0</v>
      </c>
      <c r="F35" s="52"/>
      <c r="G35" s="53"/>
      <c r="H35" s="52"/>
      <c r="I35" s="52"/>
      <c r="J35" s="58"/>
      <c r="K35" s="163"/>
      <c r="L35" s="59"/>
      <c r="M35" s="59"/>
      <c r="N35" s="59"/>
      <c r="O35" s="59"/>
      <c r="P35" s="59"/>
      <c r="Q35" s="59"/>
    </row>
    <row r="36" spans="1:17" ht="26.25" customHeight="1" x14ac:dyDescent="0.15">
      <c r="A36" s="49"/>
      <c r="B36" s="52"/>
      <c r="C36" s="52"/>
      <c r="D36" s="52"/>
      <c r="E36" s="52"/>
      <c r="F36" s="52"/>
      <c r="G36" s="52" t="s">
        <v>26</v>
      </c>
      <c r="H36" s="52"/>
      <c r="I36" s="52"/>
      <c r="J36" s="58"/>
      <c r="K36" s="59"/>
      <c r="L36" s="59"/>
      <c r="M36" s="59"/>
      <c r="N36" s="59"/>
      <c r="O36" s="59"/>
      <c r="P36" s="59"/>
    </row>
    <row r="37" spans="1:17" ht="26.25" customHeight="1" x14ac:dyDescent="0.15">
      <c r="A37" s="49"/>
      <c r="B37" s="60" t="s">
        <v>27</v>
      </c>
      <c r="C37" s="60" t="s">
        <v>22</v>
      </c>
      <c r="D37" s="60" t="s">
        <v>23</v>
      </c>
      <c r="E37" s="60" t="s">
        <v>24</v>
      </c>
      <c r="F37" s="52"/>
      <c r="G37" s="60" t="s">
        <v>22</v>
      </c>
      <c r="H37" s="60" t="s">
        <v>23</v>
      </c>
      <c r="I37" s="60" t="s">
        <v>24</v>
      </c>
      <c r="J37" s="58"/>
      <c r="K37" s="59"/>
      <c r="L37" s="59"/>
      <c r="M37" s="59"/>
      <c r="N37" s="59"/>
      <c r="O37" s="59"/>
      <c r="P37" s="59"/>
    </row>
    <row r="38" spans="1:17" ht="26.25" customHeight="1" x14ac:dyDescent="0.15">
      <c r="A38" s="49"/>
      <c r="B38" s="50" t="s">
        <v>28</v>
      </c>
      <c r="C38" s="63">
        <f>E33*G38/100</f>
        <v>0</v>
      </c>
      <c r="D38" s="63">
        <f>E34*H38/100</f>
        <v>0</v>
      </c>
      <c r="E38" s="63">
        <f>E35*I38/100</f>
        <v>0</v>
      </c>
      <c r="F38" s="52"/>
      <c r="G38" s="65">
        <v>7</v>
      </c>
      <c r="H38" s="65">
        <v>2.5</v>
      </c>
      <c r="I38" s="65">
        <v>2.1</v>
      </c>
      <c r="J38" s="58"/>
      <c r="K38" s="59"/>
      <c r="L38" s="59"/>
      <c r="M38" s="59"/>
      <c r="N38" s="59"/>
      <c r="O38" s="59"/>
      <c r="P38" s="59"/>
    </row>
    <row r="39" spans="1:17" ht="26.25" customHeight="1" x14ac:dyDescent="0.15">
      <c r="A39" s="49"/>
      <c r="B39" s="50" t="s">
        <v>29</v>
      </c>
      <c r="C39" s="63">
        <f>C33*G39</f>
        <v>0</v>
      </c>
      <c r="D39" s="63">
        <f>C34*H39</f>
        <v>0</v>
      </c>
      <c r="E39" s="63">
        <f>C35*I39</f>
        <v>0</v>
      </c>
      <c r="F39" s="52"/>
      <c r="G39" s="66">
        <v>26400</v>
      </c>
      <c r="H39" s="66">
        <v>9200</v>
      </c>
      <c r="I39" s="66">
        <v>9900</v>
      </c>
      <c r="J39" s="58"/>
      <c r="K39" s="59"/>
      <c r="L39" s="59"/>
      <c r="M39" s="59"/>
      <c r="N39" s="59"/>
      <c r="O39" s="59"/>
      <c r="P39" s="59"/>
    </row>
    <row r="40" spans="1:17" ht="26.25" customHeight="1" x14ac:dyDescent="0.15">
      <c r="A40" s="49"/>
      <c r="B40" s="50" t="s">
        <v>30</v>
      </c>
      <c r="C40" s="63">
        <f>IF(C33=0,0,G40)</f>
        <v>0</v>
      </c>
      <c r="D40" s="63">
        <f>IF(C34=0,0,H40)</f>
        <v>0</v>
      </c>
      <c r="E40" s="63">
        <f>IF(C35=0,0,I40)</f>
        <v>0</v>
      </c>
      <c r="F40" s="52"/>
      <c r="G40" s="66">
        <v>20100</v>
      </c>
      <c r="H40" s="66">
        <v>7100</v>
      </c>
      <c r="I40" s="66">
        <v>5800</v>
      </c>
      <c r="J40" s="58"/>
      <c r="K40" s="59"/>
      <c r="L40" s="59"/>
      <c r="M40" s="59"/>
      <c r="N40" s="59"/>
      <c r="O40" s="59"/>
      <c r="P40" s="59"/>
    </row>
    <row r="41" spans="1:17" ht="26.25" customHeight="1" x14ac:dyDescent="0.15">
      <c r="A41" s="49"/>
      <c r="B41" s="50" t="s">
        <v>31</v>
      </c>
      <c r="C41" s="63">
        <f>IF(C33=0,0,IF($C$23="軽減なし",0,IF($C$23=B26,G39*0.7*C33,IF($C$23=B27,G39*0.5*C33,IF($C$23=B28,G39*0.2*C33,"")))))</f>
        <v>0</v>
      </c>
      <c r="D41" s="63">
        <f>IF(C34=0,0,IF($C$23="軽減なし",0,IF($C$23=B26,H39*0.7*C34,IF($C$23=B27,H39*0.5*C34,IF($C$23=B28,H39*0.2*C34,"")))))</f>
        <v>0</v>
      </c>
      <c r="E41" s="63">
        <f>IF(C35=0,0,IF($C$23="軽減なし",0,IF($C$23=B26,I39*0.7*C35,IF($C$23=B27,I39*0.5*C35,IF($C$23=B28,I39*0.2*C35,"")))))</f>
        <v>0</v>
      </c>
      <c r="F41" s="52"/>
      <c r="G41" s="102"/>
      <c r="H41" s="102"/>
      <c r="I41" s="102"/>
      <c r="J41" s="58"/>
      <c r="K41" s="59"/>
      <c r="L41" s="59"/>
      <c r="M41" s="59"/>
      <c r="N41" s="59"/>
      <c r="O41" s="59"/>
      <c r="P41" s="59"/>
    </row>
    <row r="42" spans="1:17" ht="26.25" customHeight="1" x14ac:dyDescent="0.15">
      <c r="A42" s="49"/>
      <c r="B42" s="166" t="s">
        <v>132</v>
      </c>
      <c r="C42" s="63">
        <f>IF(C33=0,0,IF($C$23="軽減なし",G39*0.5*D33,IF($C$23=B26,G39*0.15*D33,IF($C$23=B27,G39*0.25*D33,IF($C$23=B28,G39*0.4*D33,"")))))</f>
        <v>0</v>
      </c>
      <c r="D42" s="63">
        <f>IF(C33=0,0,IF($C$23="軽減なし",H39*0.5*D33,IF($C$23=B26,H39*0.15*D33,IF($C$23=B27,H39*0.25*D33,IF($C$23=B28,H39*0.4*D33,"")))))</f>
        <v>0</v>
      </c>
      <c r="E42" s="63">
        <v>0</v>
      </c>
      <c r="F42" s="145"/>
      <c r="G42" s="102"/>
      <c r="H42" s="102"/>
      <c r="I42" s="102"/>
      <c r="J42" s="58"/>
      <c r="K42" s="59"/>
      <c r="L42" s="59"/>
      <c r="M42" s="59"/>
      <c r="N42" s="59"/>
      <c r="O42" s="59"/>
      <c r="P42" s="59"/>
    </row>
    <row r="43" spans="1:17" ht="26.25" customHeight="1" x14ac:dyDescent="0.15">
      <c r="A43" s="67"/>
      <c r="B43" s="50" t="s">
        <v>33</v>
      </c>
      <c r="C43" s="63">
        <f>IF(C33=0,0,IF($C$23="軽減なし",0,IF($C$23=B26,G40*0.7,IF($C$23=B27,G40*0.5,IF($C$23=B28,G40*0.2,"")))))</f>
        <v>0</v>
      </c>
      <c r="D43" s="63">
        <f>IF(C33=0,0,IF($C$23="軽減なし",0,IF($C$23=B26,H40*0.7,IF($C$23=B27,H40*0.5,IF($C$23=B28,H40*0.2,"")))))</f>
        <v>0</v>
      </c>
      <c r="E43" s="63">
        <f>IF(C35=0,0,IF($C$23="軽減なし",0,IF($C$23=B26,I40*0.7,IF($C$23=B27,I40*0.5,IF($C$23=B28,I40*0.2,"")))))</f>
        <v>0</v>
      </c>
      <c r="F43" s="52"/>
      <c r="G43" s="52" t="s">
        <v>32</v>
      </c>
      <c r="H43" s="52"/>
      <c r="I43" s="52"/>
      <c r="J43" s="58"/>
      <c r="K43" s="59"/>
      <c r="L43" s="59"/>
      <c r="M43" s="59"/>
      <c r="N43" s="59"/>
      <c r="O43" s="59"/>
      <c r="P43" s="59"/>
    </row>
    <row r="44" spans="1:17" ht="26.25" customHeight="1" x14ac:dyDescent="0.15">
      <c r="A44" s="67"/>
      <c r="B44" s="50" t="s">
        <v>34</v>
      </c>
      <c r="C44" s="63">
        <f>IF(SUM(C38:C40)&lt;G45,0,SUM(C38:C40)-G45)</f>
        <v>0</v>
      </c>
      <c r="D44" s="63">
        <f>IF(SUM(D38:D40)&lt;H45,0,SUM(D38:D40)-H45)</f>
        <v>0</v>
      </c>
      <c r="E44" s="63">
        <f>IF(SUM(E38:E40)&lt;I45,0,SUM(E38:E40)-I45)</f>
        <v>0</v>
      </c>
      <c r="F44" s="52"/>
      <c r="G44" s="60" t="s">
        <v>22</v>
      </c>
      <c r="H44" s="60" t="s">
        <v>23</v>
      </c>
      <c r="I44" s="60" t="s">
        <v>24</v>
      </c>
      <c r="J44" s="58"/>
      <c r="K44" s="59"/>
      <c r="L44" s="59"/>
      <c r="M44" s="59"/>
      <c r="N44" s="59"/>
      <c r="O44" s="59"/>
      <c r="P44" s="59"/>
    </row>
    <row r="45" spans="1:17" ht="26.25" customHeight="1" thickBot="1" x14ac:dyDescent="0.2">
      <c r="A45" s="68"/>
      <c r="B45" s="107" t="s">
        <v>35</v>
      </c>
      <c r="C45" s="108">
        <f>ROUNDDOWN(SUM(C38:C40)-SUM(C41:C44),-2)</f>
        <v>0</v>
      </c>
      <c r="D45" s="108">
        <f>ROUNDDOWN(SUM(D38:D40)-SUM(D41:D44),-2)</f>
        <v>0</v>
      </c>
      <c r="E45" s="108">
        <f>ROUNDDOWN(SUM(E38:E40)-SUM(E41:E44),-2)</f>
        <v>0</v>
      </c>
      <c r="F45" s="109"/>
      <c r="G45" s="110">
        <v>650000</v>
      </c>
      <c r="H45" s="110">
        <v>240000</v>
      </c>
      <c r="I45" s="110">
        <v>170000</v>
      </c>
      <c r="J45" s="111"/>
      <c r="K45" s="59"/>
      <c r="L45" s="59"/>
      <c r="M45" s="59"/>
      <c r="N45" s="59"/>
      <c r="O45" s="59"/>
      <c r="P45" s="59"/>
    </row>
    <row r="46" spans="1:17" ht="37.5" customHeight="1" thickBot="1" x14ac:dyDescent="0.2">
      <c r="A46" s="112"/>
      <c r="B46" s="113"/>
      <c r="C46" s="113"/>
      <c r="D46" s="113"/>
      <c r="E46" s="113"/>
      <c r="F46" s="113"/>
      <c r="G46" s="113"/>
      <c r="H46" s="113"/>
      <c r="I46" s="113"/>
      <c r="J46" s="113"/>
      <c r="K46" s="59"/>
      <c r="L46" s="59"/>
      <c r="M46" s="59"/>
      <c r="N46" s="59"/>
      <c r="O46" s="59"/>
      <c r="P46" s="59"/>
    </row>
    <row r="47" spans="1:17" ht="60.75" customHeight="1" thickBot="1" x14ac:dyDescent="0.2">
      <c r="A47" s="103"/>
      <c r="B47" s="174" t="s">
        <v>36</v>
      </c>
      <c r="C47" s="175"/>
      <c r="D47" s="175"/>
      <c r="E47" s="175"/>
      <c r="F47" s="172" t="str">
        <f>TEXT(SUM(C45:E45),"#,##0")</f>
        <v>0</v>
      </c>
      <c r="G47" s="172"/>
      <c r="H47" s="115" t="s">
        <v>37</v>
      </c>
      <c r="I47" s="103"/>
      <c r="J47" s="103"/>
      <c r="K47" s="59"/>
      <c r="L47" s="59"/>
      <c r="M47" s="59"/>
      <c r="N47" s="59"/>
      <c r="O47" s="59"/>
      <c r="P47" s="59"/>
    </row>
    <row r="48" spans="1:17" ht="37.5" customHeight="1" thickBot="1" x14ac:dyDescent="0.2">
      <c r="A48" s="103"/>
      <c r="B48" s="116"/>
      <c r="C48" s="116"/>
      <c r="D48" s="116"/>
      <c r="E48" s="116"/>
      <c r="F48" s="117"/>
      <c r="G48" s="117"/>
      <c r="H48" s="118"/>
      <c r="I48" s="103"/>
      <c r="J48" s="103"/>
      <c r="K48" s="59"/>
      <c r="L48" s="59"/>
      <c r="M48" s="59"/>
      <c r="N48" s="59"/>
      <c r="O48" s="59"/>
      <c r="P48" s="59"/>
    </row>
    <row r="49" spans="1:11" ht="60" customHeight="1" thickBot="1" x14ac:dyDescent="0.2">
      <c r="A49" s="103"/>
      <c r="B49" s="170" t="s">
        <v>49</v>
      </c>
      <c r="C49" s="171"/>
      <c r="D49" s="171"/>
      <c r="E49" s="171"/>
      <c r="F49" s="173" t="str">
        <f>TEXT(ROUND(SUM(C45:E45)/12,0),"#,##0")</f>
        <v>0</v>
      </c>
      <c r="G49" s="173"/>
      <c r="H49" s="114" t="s">
        <v>37</v>
      </c>
      <c r="I49" s="103"/>
      <c r="J49" s="103"/>
      <c r="K49" s="59"/>
    </row>
    <row r="50" spans="1:11" ht="37.5" customHeight="1" thickBot="1" x14ac:dyDescent="0.2">
      <c r="A50" s="103"/>
      <c r="B50" s="104" t="s">
        <v>50</v>
      </c>
      <c r="C50" s="105"/>
      <c r="D50" s="105"/>
      <c r="E50" s="106"/>
      <c r="F50" s="106"/>
      <c r="G50" s="103"/>
      <c r="H50" s="103"/>
      <c r="I50" s="103"/>
      <c r="J50" s="103"/>
      <c r="K50" s="59"/>
    </row>
    <row r="51" spans="1:11" ht="60" customHeight="1" thickBot="1" x14ac:dyDescent="0.2">
      <c r="A51" s="103"/>
      <c r="B51" s="170" t="s">
        <v>38</v>
      </c>
      <c r="C51" s="171"/>
      <c r="D51" s="171"/>
      <c r="E51" s="171"/>
      <c r="F51" s="173" t="str">
        <f>TEXT(ROUND(SUM(C45:E45)/8,0),"#,##0")</f>
        <v>0</v>
      </c>
      <c r="G51" s="173"/>
      <c r="H51" s="114" t="s">
        <v>37</v>
      </c>
      <c r="I51" s="103"/>
      <c r="J51" s="103"/>
      <c r="K51" s="59"/>
    </row>
    <row r="52" spans="1:11" ht="22.5" customHeight="1" x14ac:dyDescent="0.15">
      <c r="A52" s="103"/>
      <c r="B52" s="103"/>
      <c r="C52" s="103"/>
      <c r="D52" s="103"/>
      <c r="E52" s="103"/>
      <c r="F52" s="103"/>
      <c r="G52" s="103"/>
      <c r="H52" s="103"/>
      <c r="I52" s="103"/>
      <c r="J52" s="103"/>
      <c r="K52" s="59"/>
    </row>
    <row r="53" spans="1:11" ht="22.5" customHeight="1" x14ac:dyDescent="0.15">
      <c r="B53" s="168" t="s">
        <v>134</v>
      </c>
    </row>
  </sheetData>
  <sheetProtection selectLockedCells="1"/>
  <mergeCells count="11">
    <mergeCell ref="B1:E1"/>
    <mergeCell ref="B49:E49"/>
    <mergeCell ref="F47:G47"/>
    <mergeCell ref="F49:G49"/>
    <mergeCell ref="F51:G51"/>
    <mergeCell ref="B51:E51"/>
    <mergeCell ref="B47:E47"/>
    <mergeCell ref="C26:I26"/>
    <mergeCell ref="C27:I27"/>
    <mergeCell ref="C28:I28"/>
    <mergeCell ref="C25:I25"/>
  </mergeCells>
  <phoneticPr fontId="1"/>
  <dataValidations count="3">
    <dataValidation type="list" allowBlank="1" showInputMessage="1" showErrorMessage="1" sqref="B15 IX15 ST15 ACP15 AML15 AWH15 BGD15 BPZ15 BZV15 CJR15 CTN15 DDJ15 DNF15 DXB15 EGX15 EQT15 FAP15 FKL15 FUH15 GED15 GNZ15 GXV15 HHR15 HRN15 IBJ15 ILF15 IVB15 JEX15 JOT15 JYP15 KIL15 KSH15 LCD15 LLZ15 LVV15 MFR15 MPN15 MZJ15 NJF15 NTB15 OCX15 OMT15 OWP15 PGL15 PQH15 QAD15 QJZ15 QTV15 RDR15 RNN15 RXJ15 SHF15 SRB15 TAX15 TKT15 TUP15 UEL15 UOH15 UYD15 VHZ15 VRV15 WBR15 WLN15 WVJ15 B65553 IX65554 ST65554 ACP65554 AML65554 AWH65554 BGD65554 BPZ65554 BZV65554 CJR65554 CTN65554 DDJ65554 DNF65554 DXB65554 EGX65554 EQT65554 FAP65554 FKL65554 FUH65554 GED65554 GNZ65554 GXV65554 HHR65554 HRN65554 IBJ65554 ILF65554 IVB65554 JEX65554 JOT65554 JYP65554 KIL65554 KSH65554 LCD65554 LLZ65554 LVV65554 MFR65554 MPN65554 MZJ65554 NJF65554 NTB65554 OCX65554 OMT65554 OWP65554 PGL65554 PQH65554 QAD65554 QJZ65554 QTV65554 RDR65554 RNN65554 RXJ65554 SHF65554 SRB65554 TAX65554 TKT65554 TUP65554 UEL65554 UOH65554 UYD65554 VHZ65554 VRV65554 WBR65554 WLN65554 WVJ65554 B131089 IX131090 ST131090 ACP131090 AML131090 AWH131090 BGD131090 BPZ131090 BZV131090 CJR131090 CTN131090 DDJ131090 DNF131090 DXB131090 EGX131090 EQT131090 FAP131090 FKL131090 FUH131090 GED131090 GNZ131090 GXV131090 HHR131090 HRN131090 IBJ131090 ILF131090 IVB131090 JEX131090 JOT131090 JYP131090 KIL131090 KSH131090 LCD131090 LLZ131090 LVV131090 MFR131090 MPN131090 MZJ131090 NJF131090 NTB131090 OCX131090 OMT131090 OWP131090 PGL131090 PQH131090 QAD131090 QJZ131090 QTV131090 RDR131090 RNN131090 RXJ131090 SHF131090 SRB131090 TAX131090 TKT131090 TUP131090 UEL131090 UOH131090 UYD131090 VHZ131090 VRV131090 WBR131090 WLN131090 WVJ131090 B196625 IX196626 ST196626 ACP196626 AML196626 AWH196626 BGD196626 BPZ196626 BZV196626 CJR196626 CTN196626 DDJ196626 DNF196626 DXB196626 EGX196626 EQT196626 FAP196626 FKL196626 FUH196626 GED196626 GNZ196626 GXV196626 HHR196626 HRN196626 IBJ196626 ILF196626 IVB196626 JEX196626 JOT196626 JYP196626 KIL196626 KSH196626 LCD196626 LLZ196626 LVV196626 MFR196626 MPN196626 MZJ196626 NJF196626 NTB196626 OCX196626 OMT196626 OWP196626 PGL196626 PQH196626 QAD196626 QJZ196626 QTV196626 RDR196626 RNN196626 RXJ196626 SHF196626 SRB196626 TAX196626 TKT196626 TUP196626 UEL196626 UOH196626 UYD196626 VHZ196626 VRV196626 WBR196626 WLN196626 WVJ196626 B262161 IX262162 ST262162 ACP262162 AML262162 AWH262162 BGD262162 BPZ262162 BZV262162 CJR262162 CTN262162 DDJ262162 DNF262162 DXB262162 EGX262162 EQT262162 FAP262162 FKL262162 FUH262162 GED262162 GNZ262162 GXV262162 HHR262162 HRN262162 IBJ262162 ILF262162 IVB262162 JEX262162 JOT262162 JYP262162 KIL262162 KSH262162 LCD262162 LLZ262162 LVV262162 MFR262162 MPN262162 MZJ262162 NJF262162 NTB262162 OCX262162 OMT262162 OWP262162 PGL262162 PQH262162 QAD262162 QJZ262162 QTV262162 RDR262162 RNN262162 RXJ262162 SHF262162 SRB262162 TAX262162 TKT262162 TUP262162 UEL262162 UOH262162 UYD262162 VHZ262162 VRV262162 WBR262162 WLN262162 WVJ262162 B327697 IX327698 ST327698 ACP327698 AML327698 AWH327698 BGD327698 BPZ327698 BZV327698 CJR327698 CTN327698 DDJ327698 DNF327698 DXB327698 EGX327698 EQT327698 FAP327698 FKL327698 FUH327698 GED327698 GNZ327698 GXV327698 HHR327698 HRN327698 IBJ327698 ILF327698 IVB327698 JEX327698 JOT327698 JYP327698 KIL327698 KSH327698 LCD327698 LLZ327698 LVV327698 MFR327698 MPN327698 MZJ327698 NJF327698 NTB327698 OCX327698 OMT327698 OWP327698 PGL327698 PQH327698 QAD327698 QJZ327698 QTV327698 RDR327698 RNN327698 RXJ327698 SHF327698 SRB327698 TAX327698 TKT327698 TUP327698 UEL327698 UOH327698 UYD327698 VHZ327698 VRV327698 WBR327698 WLN327698 WVJ327698 B393233 IX393234 ST393234 ACP393234 AML393234 AWH393234 BGD393234 BPZ393234 BZV393234 CJR393234 CTN393234 DDJ393234 DNF393234 DXB393234 EGX393234 EQT393234 FAP393234 FKL393234 FUH393234 GED393234 GNZ393234 GXV393234 HHR393234 HRN393234 IBJ393234 ILF393234 IVB393234 JEX393234 JOT393234 JYP393234 KIL393234 KSH393234 LCD393234 LLZ393234 LVV393234 MFR393234 MPN393234 MZJ393234 NJF393234 NTB393234 OCX393234 OMT393234 OWP393234 PGL393234 PQH393234 QAD393234 QJZ393234 QTV393234 RDR393234 RNN393234 RXJ393234 SHF393234 SRB393234 TAX393234 TKT393234 TUP393234 UEL393234 UOH393234 UYD393234 VHZ393234 VRV393234 WBR393234 WLN393234 WVJ393234 B458769 IX458770 ST458770 ACP458770 AML458770 AWH458770 BGD458770 BPZ458770 BZV458770 CJR458770 CTN458770 DDJ458770 DNF458770 DXB458770 EGX458770 EQT458770 FAP458770 FKL458770 FUH458770 GED458770 GNZ458770 GXV458770 HHR458770 HRN458770 IBJ458770 ILF458770 IVB458770 JEX458770 JOT458770 JYP458770 KIL458770 KSH458770 LCD458770 LLZ458770 LVV458770 MFR458770 MPN458770 MZJ458770 NJF458770 NTB458770 OCX458770 OMT458770 OWP458770 PGL458770 PQH458770 QAD458770 QJZ458770 QTV458770 RDR458770 RNN458770 RXJ458770 SHF458770 SRB458770 TAX458770 TKT458770 TUP458770 UEL458770 UOH458770 UYD458770 VHZ458770 VRV458770 WBR458770 WLN458770 WVJ458770 B524305 IX524306 ST524306 ACP524306 AML524306 AWH524306 BGD524306 BPZ524306 BZV524306 CJR524306 CTN524306 DDJ524306 DNF524306 DXB524306 EGX524306 EQT524306 FAP524306 FKL524306 FUH524306 GED524306 GNZ524306 GXV524306 HHR524306 HRN524306 IBJ524306 ILF524306 IVB524306 JEX524306 JOT524306 JYP524306 KIL524306 KSH524306 LCD524306 LLZ524306 LVV524306 MFR524306 MPN524306 MZJ524306 NJF524306 NTB524306 OCX524306 OMT524306 OWP524306 PGL524306 PQH524306 QAD524306 QJZ524306 QTV524306 RDR524306 RNN524306 RXJ524306 SHF524306 SRB524306 TAX524306 TKT524306 TUP524306 UEL524306 UOH524306 UYD524306 VHZ524306 VRV524306 WBR524306 WLN524306 WVJ524306 B589841 IX589842 ST589842 ACP589842 AML589842 AWH589842 BGD589842 BPZ589842 BZV589842 CJR589842 CTN589842 DDJ589842 DNF589842 DXB589842 EGX589842 EQT589842 FAP589842 FKL589842 FUH589842 GED589842 GNZ589842 GXV589842 HHR589842 HRN589842 IBJ589842 ILF589842 IVB589842 JEX589842 JOT589842 JYP589842 KIL589842 KSH589842 LCD589842 LLZ589842 LVV589842 MFR589842 MPN589842 MZJ589842 NJF589842 NTB589842 OCX589842 OMT589842 OWP589842 PGL589842 PQH589842 QAD589842 QJZ589842 QTV589842 RDR589842 RNN589842 RXJ589842 SHF589842 SRB589842 TAX589842 TKT589842 TUP589842 UEL589842 UOH589842 UYD589842 VHZ589842 VRV589842 WBR589842 WLN589842 WVJ589842 B655377 IX655378 ST655378 ACP655378 AML655378 AWH655378 BGD655378 BPZ655378 BZV655378 CJR655378 CTN655378 DDJ655378 DNF655378 DXB655378 EGX655378 EQT655378 FAP655378 FKL655378 FUH655378 GED655378 GNZ655378 GXV655378 HHR655378 HRN655378 IBJ655378 ILF655378 IVB655378 JEX655378 JOT655378 JYP655378 KIL655378 KSH655378 LCD655378 LLZ655378 LVV655378 MFR655378 MPN655378 MZJ655378 NJF655378 NTB655378 OCX655378 OMT655378 OWP655378 PGL655378 PQH655378 QAD655378 QJZ655378 QTV655378 RDR655378 RNN655378 RXJ655378 SHF655378 SRB655378 TAX655378 TKT655378 TUP655378 UEL655378 UOH655378 UYD655378 VHZ655378 VRV655378 WBR655378 WLN655378 WVJ655378 B720913 IX720914 ST720914 ACP720914 AML720914 AWH720914 BGD720914 BPZ720914 BZV720914 CJR720914 CTN720914 DDJ720914 DNF720914 DXB720914 EGX720914 EQT720914 FAP720914 FKL720914 FUH720914 GED720914 GNZ720914 GXV720914 HHR720914 HRN720914 IBJ720914 ILF720914 IVB720914 JEX720914 JOT720914 JYP720914 KIL720914 KSH720914 LCD720914 LLZ720914 LVV720914 MFR720914 MPN720914 MZJ720914 NJF720914 NTB720914 OCX720914 OMT720914 OWP720914 PGL720914 PQH720914 QAD720914 QJZ720914 QTV720914 RDR720914 RNN720914 RXJ720914 SHF720914 SRB720914 TAX720914 TKT720914 TUP720914 UEL720914 UOH720914 UYD720914 VHZ720914 VRV720914 WBR720914 WLN720914 WVJ720914 B786449 IX786450 ST786450 ACP786450 AML786450 AWH786450 BGD786450 BPZ786450 BZV786450 CJR786450 CTN786450 DDJ786450 DNF786450 DXB786450 EGX786450 EQT786450 FAP786450 FKL786450 FUH786450 GED786450 GNZ786450 GXV786450 HHR786450 HRN786450 IBJ786450 ILF786450 IVB786450 JEX786450 JOT786450 JYP786450 KIL786450 KSH786450 LCD786450 LLZ786450 LVV786450 MFR786450 MPN786450 MZJ786450 NJF786450 NTB786450 OCX786450 OMT786450 OWP786450 PGL786450 PQH786450 QAD786450 QJZ786450 QTV786450 RDR786450 RNN786450 RXJ786450 SHF786450 SRB786450 TAX786450 TKT786450 TUP786450 UEL786450 UOH786450 UYD786450 VHZ786450 VRV786450 WBR786450 WLN786450 WVJ786450 B851985 IX851986 ST851986 ACP851986 AML851986 AWH851986 BGD851986 BPZ851986 BZV851986 CJR851986 CTN851986 DDJ851986 DNF851986 DXB851986 EGX851986 EQT851986 FAP851986 FKL851986 FUH851986 GED851986 GNZ851986 GXV851986 HHR851986 HRN851986 IBJ851986 ILF851986 IVB851986 JEX851986 JOT851986 JYP851986 KIL851986 KSH851986 LCD851986 LLZ851986 LVV851986 MFR851986 MPN851986 MZJ851986 NJF851986 NTB851986 OCX851986 OMT851986 OWP851986 PGL851986 PQH851986 QAD851986 QJZ851986 QTV851986 RDR851986 RNN851986 RXJ851986 SHF851986 SRB851986 TAX851986 TKT851986 TUP851986 UEL851986 UOH851986 UYD851986 VHZ851986 VRV851986 WBR851986 WLN851986 WVJ851986 B917521 IX917522 ST917522 ACP917522 AML917522 AWH917522 BGD917522 BPZ917522 BZV917522 CJR917522 CTN917522 DDJ917522 DNF917522 DXB917522 EGX917522 EQT917522 FAP917522 FKL917522 FUH917522 GED917522 GNZ917522 GXV917522 HHR917522 HRN917522 IBJ917522 ILF917522 IVB917522 JEX917522 JOT917522 JYP917522 KIL917522 KSH917522 LCD917522 LLZ917522 LVV917522 MFR917522 MPN917522 MZJ917522 NJF917522 NTB917522 OCX917522 OMT917522 OWP917522 PGL917522 PQH917522 QAD917522 QJZ917522 QTV917522 RDR917522 RNN917522 RXJ917522 SHF917522 SRB917522 TAX917522 TKT917522 TUP917522 UEL917522 UOH917522 UYD917522 VHZ917522 VRV917522 WBR917522 WLN917522 WVJ917522 B983057 IX983058 ST983058 ACP983058 AML983058 AWH983058 BGD983058 BPZ983058 BZV983058 CJR983058 CTN983058 DDJ983058 DNF983058 DXB983058 EGX983058 EQT983058 FAP983058 FKL983058 FUH983058 GED983058 GNZ983058 GXV983058 HHR983058 HRN983058 IBJ983058 ILF983058 IVB983058 JEX983058 JOT983058 JYP983058 KIL983058 KSH983058 LCD983058 LLZ983058 LVV983058 MFR983058 MPN983058 MZJ983058 NJF983058 NTB983058 OCX983058 OMT983058 OWP983058 PGL983058 PQH983058 QAD983058 QJZ983058 QTV983058 RDR983058 RNN983058 RXJ983058 SHF983058 SRB983058 TAX983058 TKT983058 TUP983058 UEL983058 UOH983058 UYD983058 VHZ983058 VRV983058 WBR983058 WLN983058 WVJ983058" xr:uid="{00000000-0002-0000-0000-000000000000}">
      <formula1>"1,2"</formula1>
    </dataValidation>
    <dataValidation type="whole" errorStyle="warning" operator="greaterThanOrEqual" allowBlank="1" showInputMessage="1" showErrorMessage="1" errorTitle="入力内容を確認してください" error="数値を入力してください" sqref="D65543:F65550 IY5:JA12 SU5:SW12 ACQ5:ACS12 AMM5:AMO12 AWI5:AWK12 BGE5:BGG12 BQA5:BQC12 BZW5:BZY12 CJS5:CJU12 CTO5:CTQ12 DDK5:DDM12 DNG5:DNI12 DXC5:DXE12 EGY5:EHA12 EQU5:EQW12 FAQ5:FAS12 FKM5:FKO12 FUI5:FUK12 GEE5:GEG12 GOA5:GOC12 GXW5:GXY12 HHS5:HHU12 HRO5:HRQ12 IBK5:IBM12 ILG5:ILI12 IVC5:IVE12 JEY5:JFA12 JOU5:JOW12 JYQ5:JYS12 KIM5:KIO12 KSI5:KSK12 LCE5:LCG12 LMA5:LMC12 LVW5:LVY12 MFS5:MFU12 MPO5:MPQ12 MZK5:MZM12 NJG5:NJI12 NTC5:NTE12 OCY5:ODA12 OMU5:OMW12 OWQ5:OWS12 PGM5:PGO12 PQI5:PQK12 QAE5:QAG12 QKA5:QKC12 QTW5:QTY12 RDS5:RDU12 RNO5:RNQ12 RXK5:RXM12 SHG5:SHI12 SRC5:SRE12 TAY5:TBA12 TKU5:TKW12 TUQ5:TUS12 UEM5:UEO12 UOI5:UOK12 UYE5:UYG12 VIA5:VIC12 VRW5:VRY12 WBS5:WBU12 WLO5:WLQ12 WVK5:WVM12 IZ65544:JB65551 SV65544:SX65551 ACR65544:ACT65551 AMN65544:AMP65551 AWJ65544:AWL65551 BGF65544:BGH65551 BQB65544:BQD65551 BZX65544:BZZ65551 CJT65544:CJV65551 CTP65544:CTR65551 DDL65544:DDN65551 DNH65544:DNJ65551 DXD65544:DXF65551 EGZ65544:EHB65551 EQV65544:EQX65551 FAR65544:FAT65551 FKN65544:FKP65551 FUJ65544:FUL65551 GEF65544:GEH65551 GOB65544:GOD65551 GXX65544:GXZ65551 HHT65544:HHV65551 HRP65544:HRR65551 IBL65544:IBN65551 ILH65544:ILJ65551 IVD65544:IVF65551 JEZ65544:JFB65551 JOV65544:JOX65551 JYR65544:JYT65551 KIN65544:KIP65551 KSJ65544:KSL65551 LCF65544:LCH65551 LMB65544:LMD65551 LVX65544:LVZ65551 MFT65544:MFV65551 MPP65544:MPR65551 MZL65544:MZN65551 NJH65544:NJJ65551 NTD65544:NTF65551 OCZ65544:ODB65551 OMV65544:OMX65551 OWR65544:OWT65551 PGN65544:PGP65551 PQJ65544:PQL65551 QAF65544:QAH65551 QKB65544:QKD65551 QTX65544:QTZ65551 RDT65544:RDV65551 RNP65544:RNR65551 RXL65544:RXN65551 SHH65544:SHJ65551 SRD65544:SRF65551 TAZ65544:TBB65551 TKV65544:TKX65551 TUR65544:TUT65551 UEN65544:UEP65551 UOJ65544:UOL65551 UYF65544:UYH65551 VIB65544:VID65551 VRX65544:VRZ65551 WBT65544:WBV65551 WLP65544:WLR65551 WVL65544:WVN65551 IZ131080:JB131087 SV131080:SX131087 ACR131080:ACT131087 AMN131080:AMP131087 AWJ131080:AWL131087 BGF131080:BGH131087 BQB131080:BQD131087 BZX131080:BZZ131087 CJT131080:CJV131087 CTP131080:CTR131087 DDL131080:DDN131087 DNH131080:DNJ131087 DXD131080:DXF131087 EGZ131080:EHB131087 EQV131080:EQX131087 FAR131080:FAT131087 FKN131080:FKP131087 FUJ131080:FUL131087 GEF131080:GEH131087 GOB131080:GOD131087 GXX131080:GXZ131087 HHT131080:HHV131087 HRP131080:HRR131087 IBL131080:IBN131087 ILH131080:ILJ131087 IVD131080:IVF131087 JEZ131080:JFB131087 JOV131080:JOX131087 JYR131080:JYT131087 KIN131080:KIP131087 KSJ131080:KSL131087 LCF131080:LCH131087 LMB131080:LMD131087 LVX131080:LVZ131087 MFT131080:MFV131087 MPP131080:MPR131087 MZL131080:MZN131087 NJH131080:NJJ131087 NTD131080:NTF131087 OCZ131080:ODB131087 OMV131080:OMX131087 OWR131080:OWT131087 PGN131080:PGP131087 PQJ131080:PQL131087 QAF131080:QAH131087 QKB131080:QKD131087 QTX131080:QTZ131087 RDT131080:RDV131087 RNP131080:RNR131087 RXL131080:RXN131087 SHH131080:SHJ131087 SRD131080:SRF131087 TAZ131080:TBB131087 TKV131080:TKX131087 TUR131080:TUT131087 UEN131080:UEP131087 UOJ131080:UOL131087 UYF131080:UYH131087 VIB131080:VID131087 VRX131080:VRZ131087 WBT131080:WBV131087 WLP131080:WLR131087 WVL131080:WVN131087 IZ196616:JB196623 SV196616:SX196623 ACR196616:ACT196623 AMN196616:AMP196623 AWJ196616:AWL196623 BGF196616:BGH196623 BQB196616:BQD196623 BZX196616:BZZ196623 CJT196616:CJV196623 CTP196616:CTR196623 DDL196616:DDN196623 DNH196616:DNJ196623 DXD196616:DXF196623 EGZ196616:EHB196623 EQV196616:EQX196623 FAR196616:FAT196623 FKN196616:FKP196623 FUJ196616:FUL196623 GEF196616:GEH196623 GOB196616:GOD196623 GXX196616:GXZ196623 HHT196616:HHV196623 HRP196616:HRR196623 IBL196616:IBN196623 ILH196616:ILJ196623 IVD196616:IVF196623 JEZ196616:JFB196623 JOV196616:JOX196623 JYR196616:JYT196623 KIN196616:KIP196623 KSJ196616:KSL196623 LCF196616:LCH196623 LMB196616:LMD196623 LVX196616:LVZ196623 MFT196616:MFV196623 MPP196616:MPR196623 MZL196616:MZN196623 NJH196616:NJJ196623 NTD196616:NTF196623 OCZ196616:ODB196623 OMV196616:OMX196623 OWR196616:OWT196623 PGN196616:PGP196623 PQJ196616:PQL196623 QAF196616:QAH196623 QKB196616:QKD196623 QTX196616:QTZ196623 RDT196616:RDV196623 RNP196616:RNR196623 RXL196616:RXN196623 SHH196616:SHJ196623 SRD196616:SRF196623 TAZ196616:TBB196623 TKV196616:TKX196623 TUR196616:TUT196623 UEN196616:UEP196623 UOJ196616:UOL196623 UYF196616:UYH196623 VIB196616:VID196623 VRX196616:VRZ196623 WBT196616:WBV196623 WLP196616:WLR196623 WVL196616:WVN196623 IZ262152:JB262159 SV262152:SX262159 ACR262152:ACT262159 AMN262152:AMP262159 AWJ262152:AWL262159 BGF262152:BGH262159 BQB262152:BQD262159 BZX262152:BZZ262159 CJT262152:CJV262159 CTP262152:CTR262159 DDL262152:DDN262159 DNH262152:DNJ262159 DXD262152:DXF262159 EGZ262152:EHB262159 EQV262152:EQX262159 FAR262152:FAT262159 FKN262152:FKP262159 FUJ262152:FUL262159 GEF262152:GEH262159 GOB262152:GOD262159 GXX262152:GXZ262159 HHT262152:HHV262159 HRP262152:HRR262159 IBL262152:IBN262159 ILH262152:ILJ262159 IVD262152:IVF262159 JEZ262152:JFB262159 JOV262152:JOX262159 JYR262152:JYT262159 KIN262152:KIP262159 KSJ262152:KSL262159 LCF262152:LCH262159 LMB262152:LMD262159 LVX262152:LVZ262159 MFT262152:MFV262159 MPP262152:MPR262159 MZL262152:MZN262159 NJH262152:NJJ262159 NTD262152:NTF262159 OCZ262152:ODB262159 OMV262152:OMX262159 OWR262152:OWT262159 PGN262152:PGP262159 PQJ262152:PQL262159 QAF262152:QAH262159 QKB262152:QKD262159 QTX262152:QTZ262159 RDT262152:RDV262159 RNP262152:RNR262159 RXL262152:RXN262159 SHH262152:SHJ262159 SRD262152:SRF262159 TAZ262152:TBB262159 TKV262152:TKX262159 TUR262152:TUT262159 UEN262152:UEP262159 UOJ262152:UOL262159 UYF262152:UYH262159 VIB262152:VID262159 VRX262152:VRZ262159 WBT262152:WBV262159 WLP262152:WLR262159 WVL262152:WVN262159 IZ327688:JB327695 SV327688:SX327695 ACR327688:ACT327695 AMN327688:AMP327695 AWJ327688:AWL327695 BGF327688:BGH327695 BQB327688:BQD327695 BZX327688:BZZ327695 CJT327688:CJV327695 CTP327688:CTR327695 DDL327688:DDN327695 DNH327688:DNJ327695 DXD327688:DXF327695 EGZ327688:EHB327695 EQV327688:EQX327695 FAR327688:FAT327695 FKN327688:FKP327695 FUJ327688:FUL327695 GEF327688:GEH327695 GOB327688:GOD327695 GXX327688:GXZ327695 HHT327688:HHV327695 HRP327688:HRR327695 IBL327688:IBN327695 ILH327688:ILJ327695 IVD327688:IVF327695 JEZ327688:JFB327695 JOV327688:JOX327695 JYR327688:JYT327695 KIN327688:KIP327695 KSJ327688:KSL327695 LCF327688:LCH327695 LMB327688:LMD327695 LVX327688:LVZ327695 MFT327688:MFV327695 MPP327688:MPR327695 MZL327688:MZN327695 NJH327688:NJJ327695 NTD327688:NTF327695 OCZ327688:ODB327695 OMV327688:OMX327695 OWR327688:OWT327695 PGN327688:PGP327695 PQJ327688:PQL327695 QAF327688:QAH327695 QKB327688:QKD327695 QTX327688:QTZ327695 RDT327688:RDV327695 RNP327688:RNR327695 RXL327688:RXN327695 SHH327688:SHJ327695 SRD327688:SRF327695 TAZ327688:TBB327695 TKV327688:TKX327695 TUR327688:TUT327695 UEN327688:UEP327695 UOJ327688:UOL327695 UYF327688:UYH327695 VIB327688:VID327695 VRX327688:VRZ327695 WBT327688:WBV327695 WLP327688:WLR327695 WVL327688:WVN327695 IZ393224:JB393231 SV393224:SX393231 ACR393224:ACT393231 AMN393224:AMP393231 AWJ393224:AWL393231 BGF393224:BGH393231 BQB393224:BQD393231 BZX393224:BZZ393231 CJT393224:CJV393231 CTP393224:CTR393231 DDL393224:DDN393231 DNH393224:DNJ393231 DXD393224:DXF393231 EGZ393224:EHB393231 EQV393224:EQX393231 FAR393224:FAT393231 FKN393224:FKP393231 FUJ393224:FUL393231 GEF393224:GEH393231 GOB393224:GOD393231 GXX393224:GXZ393231 HHT393224:HHV393231 HRP393224:HRR393231 IBL393224:IBN393231 ILH393224:ILJ393231 IVD393224:IVF393231 JEZ393224:JFB393231 JOV393224:JOX393231 JYR393224:JYT393231 KIN393224:KIP393231 KSJ393224:KSL393231 LCF393224:LCH393231 LMB393224:LMD393231 LVX393224:LVZ393231 MFT393224:MFV393231 MPP393224:MPR393231 MZL393224:MZN393231 NJH393224:NJJ393231 NTD393224:NTF393231 OCZ393224:ODB393231 OMV393224:OMX393231 OWR393224:OWT393231 PGN393224:PGP393231 PQJ393224:PQL393231 QAF393224:QAH393231 QKB393224:QKD393231 QTX393224:QTZ393231 RDT393224:RDV393231 RNP393224:RNR393231 RXL393224:RXN393231 SHH393224:SHJ393231 SRD393224:SRF393231 TAZ393224:TBB393231 TKV393224:TKX393231 TUR393224:TUT393231 UEN393224:UEP393231 UOJ393224:UOL393231 UYF393224:UYH393231 VIB393224:VID393231 VRX393224:VRZ393231 WBT393224:WBV393231 WLP393224:WLR393231 WVL393224:WVN393231 IZ458760:JB458767 SV458760:SX458767 ACR458760:ACT458767 AMN458760:AMP458767 AWJ458760:AWL458767 BGF458760:BGH458767 BQB458760:BQD458767 BZX458760:BZZ458767 CJT458760:CJV458767 CTP458760:CTR458767 DDL458760:DDN458767 DNH458760:DNJ458767 DXD458760:DXF458767 EGZ458760:EHB458767 EQV458760:EQX458767 FAR458760:FAT458767 FKN458760:FKP458767 FUJ458760:FUL458767 GEF458760:GEH458767 GOB458760:GOD458767 GXX458760:GXZ458767 HHT458760:HHV458767 HRP458760:HRR458767 IBL458760:IBN458767 ILH458760:ILJ458767 IVD458760:IVF458767 JEZ458760:JFB458767 JOV458760:JOX458767 JYR458760:JYT458767 KIN458760:KIP458767 KSJ458760:KSL458767 LCF458760:LCH458767 LMB458760:LMD458767 LVX458760:LVZ458767 MFT458760:MFV458767 MPP458760:MPR458767 MZL458760:MZN458767 NJH458760:NJJ458767 NTD458760:NTF458767 OCZ458760:ODB458767 OMV458760:OMX458767 OWR458760:OWT458767 PGN458760:PGP458767 PQJ458760:PQL458767 QAF458760:QAH458767 QKB458760:QKD458767 QTX458760:QTZ458767 RDT458760:RDV458767 RNP458760:RNR458767 RXL458760:RXN458767 SHH458760:SHJ458767 SRD458760:SRF458767 TAZ458760:TBB458767 TKV458760:TKX458767 TUR458760:TUT458767 UEN458760:UEP458767 UOJ458760:UOL458767 UYF458760:UYH458767 VIB458760:VID458767 VRX458760:VRZ458767 WBT458760:WBV458767 WLP458760:WLR458767 WVL458760:WVN458767 IZ524296:JB524303 SV524296:SX524303 ACR524296:ACT524303 AMN524296:AMP524303 AWJ524296:AWL524303 BGF524296:BGH524303 BQB524296:BQD524303 BZX524296:BZZ524303 CJT524296:CJV524303 CTP524296:CTR524303 DDL524296:DDN524303 DNH524296:DNJ524303 DXD524296:DXF524303 EGZ524296:EHB524303 EQV524296:EQX524303 FAR524296:FAT524303 FKN524296:FKP524303 FUJ524296:FUL524303 GEF524296:GEH524303 GOB524296:GOD524303 GXX524296:GXZ524303 HHT524296:HHV524303 HRP524296:HRR524303 IBL524296:IBN524303 ILH524296:ILJ524303 IVD524296:IVF524303 JEZ524296:JFB524303 JOV524296:JOX524303 JYR524296:JYT524303 KIN524296:KIP524303 KSJ524296:KSL524303 LCF524296:LCH524303 LMB524296:LMD524303 LVX524296:LVZ524303 MFT524296:MFV524303 MPP524296:MPR524303 MZL524296:MZN524303 NJH524296:NJJ524303 NTD524296:NTF524303 OCZ524296:ODB524303 OMV524296:OMX524303 OWR524296:OWT524303 PGN524296:PGP524303 PQJ524296:PQL524303 QAF524296:QAH524303 QKB524296:QKD524303 QTX524296:QTZ524303 RDT524296:RDV524303 RNP524296:RNR524303 RXL524296:RXN524303 SHH524296:SHJ524303 SRD524296:SRF524303 TAZ524296:TBB524303 TKV524296:TKX524303 TUR524296:TUT524303 UEN524296:UEP524303 UOJ524296:UOL524303 UYF524296:UYH524303 VIB524296:VID524303 VRX524296:VRZ524303 WBT524296:WBV524303 WLP524296:WLR524303 WVL524296:WVN524303 IZ589832:JB589839 SV589832:SX589839 ACR589832:ACT589839 AMN589832:AMP589839 AWJ589832:AWL589839 BGF589832:BGH589839 BQB589832:BQD589839 BZX589832:BZZ589839 CJT589832:CJV589839 CTP589832:CTR589839 DDL589832:DDN589839 DNH589832:DNJ589839 DXD589832:DXF589839 EGZ589832:EHB589839 EQV589832:EQX589839 FAR589832:FAT589839 FKN589832:FKP589839 FUJ589832:FUL589839 GEF589832:GEH589839 GOB589832:GOD589839 GXX589832:GXZ589839 HHT589832:HHV589839 HRP589832:HRR589839 IBL589832:IBN589839 ILH589832:ILJ589839 IVD589832:IVF589839 JEZ589832:JFB589839 JOV589832:JOX589839 JYR589832:JYT589839 KIN589832:KIP589839 KSJ589832:KSL589839 LCF589832:LCH589839 LMB589832:LMD589839 LVX589832:LVZ589839 MFT589832:MFV589839 MPP589832:MPR589839 MZL589832:MZN589839 NJH589832:NJJ589839 NTD589832:NTF589839 OCZ589832:ODB589839 OMV589832:OMX589839 OWR589832:OWT589839 PGN589832:PGP589839 PQJ589832:PQL589839 QAF589832:QAH589839 QKB589832:QKD589839 QTX589832:QTZ589839 RDT589832:RDV589839 RNP589832:RNR589839 RXL589832:RXN589839 SHH589832:SHJ589839 SRD589832:SRF589839 TAZ589832:TBB589839 TKV589832:TKX589839 TUR589832:TUT589839 UEN589832:UEP589839 UOJ589832:UOL589839 UYF589832:UYH589839 VIB589832:VID589839 VRX589832:VRZ589839 WBT589832:WBV589839 WLP589832:WLR589839 WVL589832:WVN589839 IZ655368:JB655375 SV655368:SX655375 ACR655368:ACT655375 AMN655368:AMP655375 AWJ655368:AWL655375 BGF655368:BGH655375 BQB655368:BQD655375 BZX655368:BZZ655375 CJT655368:CJV655375 CTP655368:CTR655375 DDL655368:DDN655375 DNH655368:DNJ655375 DXD655368:DXF655375 EGZ655368:EHB655375 EQV655368:EQX655375 FAR655368:FAT655375 FKN655368:FKP655375 FUJ655368:FUL655375 GEF655368:GEH655375 GOB655368:GOD655375 GXX655368:GXZ655375 HHT655368:HHV655375 HRP655368:HRR655375 IBL655368:IBN655375 ILH655368:ILJ655375 IVD655368:IVF655375 JEZ655368:JFB655375 JOV655368:JOX655375 JYR655368:JYT655375 KIN655368:KIP655375 KSJ655368:KSL655375 LCF655368:LCH655375 LMB655368:LMD655375 LVX655368:LVZ655375 MFT655368:MFV655375 MPP655368:MPR655375 MZL655368:MZN655375 NJH655368:NJJ655375 NTD655368:NTF655375 OCZ655368:ODB655375 OMV655368:OMX655375 OWR655368:OWT655375 PGN655368:PGP655375 PQJ655368:PQL655375 QAF655368:QAH655375 QKB655368:QKD655375 QTX655368:QTZ655375 RDT655368:RDV655375 RNP655368:RNR655375 RXL655368:RXN655375 SHH655368:SHJ655375 SRD655368:SRF655375 TAZ655368:TBB655375 TKV655368:TKX655375 TUR655368:TUT655375 UEN655368:UEP655375 UOJ655368:UOL655375 UYF655368:UYH655375 VIB655368:VID655375 VRX655368:VRZ655375 WBT655368:WBV655375 WLP655368:WLR655375 WVL655368:WVN655375 IZ720904:JB720911 SV720904:SX720911 ACR720904:ACT720911 AMN720904:AMP720911 AWJ720904:AWL720911 BGF720904:BGH720911 BQB720904:BQD720911 BZX720904:BZZ720911 CJT720904:CJV720911 CTP720904:CTR720911 DDL720904:DDN720911 DNH720904:DNJ720911 DXD720904:DXF720911 EGZ720904:EHB720911 EQV720904:EQX720911 FAR720904:FAT720911 FKN720904:FKP720911 FUJ720904:FUL720911 GEF720904:GEH720911 GOB720904:GOD720911 GXX720904:GXZ720911 HHT720904:HHV720911 HRP720904:HRR720911 IBL720904:IBN720911 ILH720904:ILJ720911 IVD720904:IVF720911 JEZ720904:JFB720911 JOV720904:JOX720911 JYR720904:JYT720911 KIN720904:KIP720911 KSJ720904:KSL720911 LCF720904:LCH720911 LMB720904:LMD720911 LVX720904:LVZ720911 MFT720904:MFV720911 MPP720904:MPR720911 MZL720904:MZN720911 NJH720904:NJJ720911 NTD720904:NTF720911 OCZ720904:ODB720911 OMV720904:OMX720911 OWR720904:OWT720911 PGN720904:PGP720911 PQJ720904:PQL720911 QAF720904:QAH720911 QKB720904:QKD720911 QTX720904:QTZ720911 RDT720904:RDV720911 RNP720904:RNR720911 RXL720904:RXN720911 SHH720904:SHJ720911 SRD720904:SRF720911 TAZ720904:TBB720911 TKV720904:TKX720911 TUR720904:TUT720911 UEN720904:UEP720911 UOJ720904:UOL720911 UYF720904:UYH720911 VIB720904:VID720911 VRX720904:VRZ720911 WBT720904:WBV720911 WLP720904:WLR720911 WVL720904:WVN720911 IZ786440:JB786447 SV786440:SX786447 ACR786440:ACT786447 AMN786440:AMP786447 AWJ786440:AWL786447 BGF786440:BGH786447 BQB786440:BQD786447 BZX786440:BZZ786447 CJT786440:CJV786447 CTP786440:CTR786447 DDL786440:DDN786447 DNH786440:DNJ786447 DXD786440:DXF786447 EGZ786440:EHB786447 EQV786440:EQX786447 FAR786440:FAT786447 FKN786440:FKP786447 FUJ786440:FUL786447 GEF786440:GEH786447 GOB786440:GOD786447 GXX786440:GXZ786447 HHT786440:HHV786447 HRP786440:HRR786447 IBL786440:IBN786447 ILH786440:ILJ786447 IVD786440:IVF786447 JEZ786440:JFB786447 JOV786440:JOX786447 JYR786440:JYT786447 KIN786440:KIP786447 KSJ786440:KSL786447 LCF786440:LCH786447 LMB786440:LMD786447 LVX786440:LVZ786447 MFT786440:MFV786447 MPP786440:MPR786447 MZL786440:MZN786447 NJH786440:NJJ786447 NTD786440:NTF786447 OCZ786440:ODB786447 OMV786440:OMX786447 OWR786440:OWT786447 PGN786440:PGP786447 PQJ786440:PQL786447 QAF786440:QAH786447 QKB786440:QKD786447 QTX786440:QTZ786447 RDT786440:RDV786447 RNP786440:RNR786447 RXL786440:RXN786447 SHH786440:SHJ786447 SRD786440:SRF786447 TAZ786440:TBB786447 TKV786440:TKX786447 TUR786440:TUT786447 UEN786440:UEP786447 UOJ786440:UOL786447 UYF786440:UYH786447 VIB786440:VID786447 VRX786440:VRZ786447 WBT786440:WBV786447 WLP786440:WLR786447 WVL786440:WVN786447 IZ851976:JB851983 SV851976:SX851983 ACR851976:ACT851983 AMN851976:AMP851983 AWJ851976:AWL851983 BGF851976:BGH851983 BQB851976:BQD851983 BZX851976:BZZ851983 CJT851976:CJV851983 CTP851976:CTR851983 DDL851976:DDN851983 DNH851976:DNJ851983 DXD851976:DXF851983 EGZ851976:EHB851983 EQV851976:EQX851983 FAR851976:FAT851983 FKN851976:FKP851983 FUJ851976:FUL851983 GEF851976:GEH851983 GOB851976:GOD851983 GXX851976:GXZ851983 HHT851976:HHV851983 HRP851976:HRR851983 IBL851976:IBN851983 ILH851976:ILJ851983 IVD851976:IVF851983 JEZ851976:JFB851983 JOV851976:JOX851983 JYR851976:JYT851983 KIN851976:KIP851983 KSJ851976:KSL851983 LCF851976:LCH851983 LMB851976:LMD851983 LVX851976:LVZ851983 MFT851976:MFV851983 MPP851976:MPR851983 MZL851976:MZN851983 NJH851976:NJJ851983 NTD851976:NTF851983 OCZ851976:ODB851983 OMV851976:OMX851983 OWR851976:OWT851983 PGN851976:PGP851983 PQJ851976:PQL851983 QAF851976:QAH851983 QKB851976:QKD851983 QTX851976:QTZ851983 RDT851976:RDV851983 RNP851976:RNR851983 RXL851976:RXN851983 SHH851976:SHJ851983 SRD851976:SRF851983 TAZ851976:TBB851983 TKV851976:TKX851983 TUR851976:TUT851983 UEN851976:UEP851983 UOJ851976:UOL851983 UYF851976:UYH851983 VIB851976:VID851983 VRX851976:VRZ851983 WBT851976:WBV851983 WLP851976:WLR851983 WVL851976:WVN851983 IZ917512:JB917519 SV917512:SX917519 ACR917512:ACT917519 AMN917512:AMP917519 AWJ917512:AWL917519 BGF917512:BGH917519 BQB917512:BQD917519 BZX917512:BZZ917519 CJT917512:CJV917519 CTP917512:CTR917519 DDL917512:DDN917519 DNH917512:DNJ917519 DXD917512:DXF917519 EGZ917512:EHB917519 EQV917512:EQX917519 FAR917512:FAT917519 FKN917512:FKP917519 FUJ917512:FUL917519 GEF917512:GEH917519 GOB917512:GOD917519 GXX917512:GXZ917519 HHT917512:HHV917519 HRP917512:HRR917519 IBL917512:IBN917519 ILH917512:ILJ917519 IVD917512:IVF917519 JEZ917512:JFB917519 JOV917512:JOX917519 JYR917512:JYT917519 KIN917512:KIP917519 KSJ917512:KSL917519 LCF917512:LCH917519 LMB917512:LMD917519 LVX917512:LVZ917519 MFT917512:MFV917519 MPP917512:MPR917519 MZL917512:MZN917519 NJH917512:NJJ917519 NTD917512:NTF917519 OCZ917512:ODB917519 OMV917512:OMX917519 OWR917512:OWT917519 PGN917512:PGP917519 PQJ917512:PQL917519 QAF917512:QAH917519 QKB917512:QKD917519 QTX917512:QTZ917519 RDT917512:RDV917519 RNP917512:RNR917519 RXL917512:RXN917519 SHH917512:SHJ917519 SRD917512:SRF917519 TAZ917512:TBB917519 TKV917512:TKX917519 TUR917512:TUT917519 UEN917512:UEP917519 UOJ917512:UOL917519 UYF917512:UYH917519 VIB917512:VID917519 VRX917512:VRZ917519 WBT917512:WBV917519 WLP917512:WLR917519 WVL917512:WVN917519 IZ983048:JB983055 SV983048:SX983055 ACR983048:ACT983055 AMN983048:AMP983055 AWJ983048:AWL983055 BGF983048:BGH983055 BQB983048:BQD983055 BZX983048:BZZ983055 CJT983048:CJV983055 CTP983048:CTR983055 DDL983048:DDN983055 DNH983048:DNJ983055 DXD983048:DXF983055 EGZ983048:EHB983055 EQV983048:EQX983055 FAR983048:FAT983055 FKN983048:FKP983055 FUJ983048:FUL983055 GEF983048:GEH983055 GOB983048:GOD983055 GXX983048:GXZ983055 HHT983048:HHV983055 HRP983048:HRR983055 IBL983048:IBN983055 ILH983048:ILJ983055 IVD983048:IVF983055 JEZ983048:JFB983055 JOV983048:JOX983055 JYR983048:JYT983055 KIN983048:KIP983055 KSJ983048:KSL983055 LCF983048:LCH983055 LMB983048:LMD983055 LVX983048:LVZ983055 MFT983048:MFV983055 MPP983048:MPR983055 MZL983048:MZN983055 NJH983048:NJJ983055 NTD983048:NTF983055 OCZ983048:ODB983055 OMV983048:OMX983055 OWR983048:OWT983055 PGN983048:PGP983055 PQJ983048:PQL983055 QAF983048:QAH983055 QKB983048:QKD983055 QTX983048:QTZ983055 RDT983048:RDV983055 RNP983048:RNR983055 RXL983048:RXN983055 SHH983048:SHJ983055 SRD983048:SRF983055 TAZ983048:TBB983055 TKV983048:TKX983055 TUR983048:TUT983055 UEN983048:UEP983055 UOJ983048:UOL983055 UYF983048:UYH983055 VIB983048:VID983055 VRX983048:VRZ983055 WBT983048:WBV983055 WLP983048:WLR983055 WVL983048:WVN983055 D18 IY18 SU18 ACQ18 AMM18 AWI18 BGE18 BQA18 BZW18 CJS18 CTO18 DDK18 DNG18 DXC18 EGY18 EQU18 FAQ18 FKM18 FUI18 GEE18 GOA18 GXW18 HHS18 HRO18 IBK18 ILG18 IVC18 JEY18 JOU18 JYQ18 KIM18 KSI18 LCE18 LMA18 LVW18 MFS18 MPO18 MZK18 NJG18 NTC18 OCY18 OMU18 OWQ18 PGM18 PQI18 QAE18 QKA18 QTW18 RDS18 RNO18 RXK18 SHG18 SRC18 TAY18 TKU18 TUQ18 UEM18 UOI18 UYE18 VIA18 VRW18 WBS18 WLO18 WVK18 C65556 IY65557 SU65557 ACQ65557 AMM65557 AWI65557 BGE65557 BQA65557 BZW65557 CJS65557 CTO65557 DDK65557 DNG65557 DXC65557 EGY65557 EQU65557 FAQ65557 FKM65557 FUI65557 GEE65557 GOA65557 GXW65557 HHS65557 HRO65557 IBK65557 ILG65557 IVC65557 JEY65557 JOU65557 JYQ65557 KIM65557 KSI65557 LCE65557 LMA65557 LVW65557 MFS65557 MPO65557 MZK65557 NJG65557 NTC65557 OCY65557 OMU65557 OWQ65557 PGM65557 PQI65557 QAE65557 QKA65557 QTW65557 RDS65557 RNO65557 RXK65557 SHG65557 SRC65557 TAY65557 TKU65557 TUQ65557 UEM65557 UOI65557 UYE65557 VIA65557 VRW65557 WBS65557 WLO65557 WVK65557 C131092 IY131093 SU131093 ACQ131093 AMM131093 AWI131093 BGE131093 BQA131093 BZW131093 CJS131093 CTO131093 DDK131093 DNG131093 DXC131093 EGY131093 EQU131093 FAQ131093 FKM131093 FUI131093 GEE131093 GOA131093 GXW131093 HHS131093 HRO131093 IBK131093 ILG131093 IVC131093 JEY131093 JOU131093 JYQ131093 KIM131093 KSI131093 LCE131093 LMA131093 LVW131093 MFS131093 MPO131093 MZK131093 NJG131093 NTC131093 OCY131093 OMU131093 OWQ131093 PGM131093 PQI131093 QAE131093 QKA131093 QTW131093 RDS131093 RNO131093 RXK131093 SHG131093 SRC131093 TAY131093 TKU131093 TUQ131093 UEM131093 UOI131093 UYE131093 VIA131093 VRW131093 WBS131093 WLO131093 WVK131093 C196628 IY196629 SU196629 ACQ196629 AMM196629 AWI196629 BGE196629 BQA196629 BZW196629 CJS196629 CTO196629 DDK196629 DNG196629 DXC196629 EGY196629 EQU196629 FAQ196629 FKM196629 FUI196629 GEE196629 GOA196629 GXW196629 HHS196629 HRO196629 IBK196629 ILG196629 IVC196629 JEY196629 JOU196629 JYQ196629 KIM196629 KSI196629 LCE196629 LMA196629 LVW196629 MFS196629 MPO196629 MZK196629 NJG196629 NTC196629 OCY196629 OMU196629 OWQ196629 PGM196629 PQI196629 QAE196629 QKA196629 QTW196629 RDS196629 RNO196629 RXK196629 SHG196629 SRC196629 TAY196629 TKU196629 TUQ196629 UEM196629 UOI196629 UYE196629 VIA196629 VRW196629 WBS196629 WLO196629 WVK196629 C262164 IY262165 SU262165 ACQ262165 AMM262165 AWI262165 BGE262165 BQA262165 BZW262165 CJS262165 CTO262165 DDK262165 DNG262165 DXC262165 EGY262165 EQU262165 FAQ262165 FKM262165 FUI262165 GEE262165 GOA262165 GXW262165 HHS262165 HRO262165 IBK262165 ILG262165 IVC262165 JEY262165 JOU262165 JYQ262165 KIM262165 KSI262165 LCE262165 LMA262165 LVW262165 MFS262165 MPO262165 MZK262165 NJG262165 NTC262165 OCY262165 OMU262165 OWQ262165 PGM262165 PQI262165 QAE262165 QKA262165 QTW262165 RDS262165 RNO262165 RXK262165 SHG262165 SRC262165 TAY262165 TKU262165 TUQ262165 UEM262165 UOI262165 UYE262165 VIA262165 VRW262165 WBS262165 WLO262165 WVK262165 C327700 IY327701 SU327701 ACQ327701 AMM327701 AWI327701 BGE327701 BQA327701 BZW327701 CJS327701 CTO327701 DDK327701 DNG327701 DXC327701 EGY327701 EQU327701 FAQ327701 FKM327701 FUI327701 GEE327701 GOA327701 GXW327701 HHS327701 HRO327701 IBK327701 ILG327701 IVC327701 JEY327701 JOU327701 JYQ327701 KIM327701 KSI327701 LCE327701 LMA327701 LVW327701 MFS327701 MPO327701 MZK327701 NJG327701 NTC327701 OCY327701 OMU327701 OWQ327701 PGM327701 PQI327701 QAE327701 QKA327701 QTW327701 RDS327701 RNO327701 RXK327701 SHG327701 SRC327701 TAY327701 TKU327701 TUQ327701 UEM327701 UOI327701 UYE327701 VIA327701 VRW327701 WBS327701 WLO327701 WVK327701 C393236 IY393237 SU393237 ACQ393237 AMM393237 AWI393237 BGE393237 BQA393237 BZW393237 CJS393237 CTO393237 DDK393237 DNG393237 DXC393237 EGY393237 EQU393237 FAQ393237 FKM393237 FUI393237 GEE393237 GOA393237 GXW393237 HHS393237 HRO393237 IBK393237 ILG393237 IVC393237 JEY393237 JOU393237 JYQ393237 KIM393237 KSI393237 LCE393237 LMA393237 LVW393237 MFS393237 MPO393237 MZK393237 NJG393237 NTC393237 OCY393237 OMU393237 OWQ393237 PGM393237 PQI393237 QAE393237 QKA393237 QTW393237 RDS393237 RNO393237 RXK393237 SHG393237 SRC393237 TAY393237 TKU393237 TUQ393237 UEM393237 UOI393237 UYE393237 VIA393237 VRW393237 WBS393237 WLO393237 WVK393237 C458772 IY458773 SU458773 ACQ458773 AMM458773 AWI458773 BGE458773 BQA458773 BZW458773 CJS458773 CTO458773 DDK458773 DNG458773 DXC458773 EGY458773 EQU458773 FAQ458773 FKM458773 FUI458773 GEE458773 GOA458773 GXW458773 HHS458773 HRO458773 IBK458773 ILG458773 IVC458773 JEY458773 JOU458773 JYQ458773 KIM458773 KSI458773 LCE458773 LMA458773 LVW458773 MFS458773 MPO458773 MZK458773 NJG458773 NTC458773 OCY458773 OMU458773 OWQ458773 PGM458773 PQI458773 QAE458773 QKA458773 QTW458773 RDS458773 RNO458773 RXK458773 SHG458773 SRC458773 TAY458773 TKU458773 TUQ458773 UEM458773 UOI458773 UYE458773 VIA458773 VRW458773 WBS458773 WLO458773 WVK458773 C524308 IY524309 SU524309 ACQ524309 AMM524309 AWI524309 BGE524309 BQA524309 BZW524309 CJS524309 CTO524309 DDK524309 DNG524309 DXC524309 EGY524309 EQU524309 FAQ524309 FKM524309 FUI524309 GEE524309 GOA524309 GXW524309 HHS524309 HRO524309 IBK524309 ILG524309 IVC524309 JEY524309 JOU524309 JYQ524309 KIM524309 KSI524309 LCE524309 LMA524309 LVW524309 MFS524309 MPO524309 MZK524309 NJG524309 NTC524309 OCY524309 OMU524309 OWQ524309 PGM524309 PQI524309 QAE524309 QKA524309 QTW524309 RDS524309 RNO524309 RXK524309 SHG524309 SRC524309 TAY524309 TKU524309 TUQ524309 UEM524309 UOI524309 UYE524309 VIA524309 VRW524309 WBS524309 WLO524309 WVK524309 C589844 IY589845 SU589845 ACQ589845 AMM589845 AWI589845 BGE589845 BQA589845 BZW589845 CJS589845 CTO589845 DDK589845 DNG589845 DXC589845 EGY589845 EQU589845 FAQ589845 FKM589845 FUI589845 GEE589845 GOA589845 GXW589845 HHS589845 HRO589845 IBK589845 ILG589845 IVC589845 JEY589845 JOU589845 JYQ589845 KIM589845 KSI589845 LCE589845 LMA589845 LVW589845 MFS589845 MPO589845 MZK589845 NJG589845 NTC589845 OCY589845 OMU589845 OWQ589845 PGM589845 PQI589845 QAE589845 QKA589845 QTW589845 RDS589845 RNO589845 RXK589845 SHG589845 SRC589845 TAY589845 TKU589845 TUQ589845 UEM589845 UOI589845 UYE589845 VIA589845 VRW589845 WBS589845 WLO589845 WVK589845 C655380 IY655381 SU655381 ACQ655381 AMM655381 AWI655381 BGE655381 BQA655381 BZW655381 CJS655381 CTO655381 DDK655381 DNG655381 DXC655381 EGY655381 EQU655381 FAQ655381 FKM655381 FUI655381 GEE655381 GOA655381 GXW655381 HHS655381 HRO655381 IBK655381 ILG655381 IVC655381 JEY655381 JOU655381 JYQ655381 KIM655381 KSI655381 LCE655381 LMA655381 LVW655381 MFS655381 MPO655381 MZK655381 NJG655381 NTC655381 OCY655381 OMU655381 OWQ655381 PGM655381 PQI655381 QAE655381 QKA655381 QTW655381 RDS655381 RNO655381 RXK655381 SHG655381 SRC655381 TAY655381 TKU655381 TUQ655381 UEM655381 UOI655381 UYE655381 VIA655381 VRW655381 WBS655381 WLO655381 WVK655381 C720916 IY720917 SU720917 ACQ720917 AMM720917 AWI720917 BGE720917 BQA720917 BZW720917 CJS720917 CTO720917 DDK720917 DNG720917 DXC720917 EGY720917 EQU720917 FAQ720917 FKM720917 FUI720917 GEE720917 GOA720917 GXW720917 HHS720917 HRO720917 IBK720917 ILG720917 IVC720917 JEY720917 JOU720917 JYQ720917 KIM720917 KSI720917 LCE720917 LMA720917 LVW720917 MFS720917 MPO720917 MZK720917 NJG720917 NTC720917 OCY720917 OMU720917 OWQ720917 PGM720917 PQI720917 QAE720917 QKA720917 QTW720917 RDS720917 RNO720917 RXK720917 SHG720917 SRC720917 TAY720917 TKU720917 TUQ720917 UEM720917 UOI720917 UYE720917 VIA720917 VRW720917 WBS720917 WLO720917 WVK720917 C786452 IY786453 SU786453 ACQ786453 AMM786453 AWI786453 BGE786453 BQA786453 BZW786453 CJS786453 CTO786453 DDK786453 DNG786453 DXC786453 EGY786453 EQU786453 FAQ786453 FKM786453 FUI786453 GEE786453 GOA786453 GXW786453 HHS786453 HRO786453 IBK786453 ILG786453 IVC786453 JEY786453 JOU786453 JYQ786453 KIM786453 KSI786453 LCE786453 LMA786453 LVW786453 MFS786453 MPO786453 MZK786453 NJG786453 NTC786453 OCY786453 OMU786453 OWQ786453 PGM786453 PQI786453 QAE786453 QKA786453 QTW786453 RDS786453 RNO786453 RXK786453 SHG786453 SRC786453 TAY786453 TKU786453 TUQ786453 UEM786453 UOI786453 UYE786453 VIA786453 VRW786453 WBS786453 WLO786453 WVK786453 C851988 IY851989 SU851989 ACQ851989 AMM851989 AWI851989 BGE851989 BQA851989 BZW851989 CJS851989 CTO851989 DDK851989 DNG851989 DXC851989 EGY851989 EQU851989 FAQ851989 FKM851989 FUI851989 GEE851989 GOA851989 GXW851989 HHS851989 HRO851989 IBK851989 ILG851989 IVC851989 JEY851989 JOU851989 JYQ851989 KIM851989 KSI851989 LCE851989 LMA851989 LVW851989 MFS851989 MPO851989 MZK851989 NJG851989 NTC851989 OCY851989 OMU851989 OWQ851989 PGM851989 PQI851989 QAE851989 QKA851989 QTW851989 RDS851989 RNO851989 RXK851989 SHG851989 SRC851989 TAY851989 TKU851989 TUQ851989 UEM851989 UOI851989 UYE851989 VIA851989 VRW851989 WBS851989 WLO851989 WVK851989 C917524 IY917525 SU917525 ACQ917525 AMM917525 AWI917525 BGE917525 BQA917525 BZW917525 CJS917525 CTO917525 DDK917525 DNG917525 DXC917525 EGY917525 EQU917525 FAQ917525 FKM917525 FUI917525 GEE917525 GOA917525 GXW917525 HHS917525 HRO917525 IBK917525 ILG917525 IVC917525 JEY917525 JOU917525 JYQ917525 KIM917525 KSI917525 LCE917525 LMA917525 LVW917525 MFS917525 MPO917525 MZK917525 NJG917525 NTC917525 OCY917525 OMU917525 OWQ917525 PGM917525 PQI917525 QAE917525 QKA917525 QTW917525 RDS917525 RNO917525 RXK917525 SHG917525 SRC917525 TAY917525 TKU917525 TUQ917525 UEM917525 UOI917525 UYE917525 VIA917525 VRW917525 WBS917525 WLO917525 WVK917525 C983060 IY983061 SU983061 ACQ983061 AMM983061 AWI983061 BGE983061 BQA983061 BZW983061 CJS983061 CTO983061 DDK983061 DNG983061 DXC983061 EGY983061 EQU983061 FAQ983061 FKM983061 FUI983061 GEE983061 GOA983061 GXW983061 HHS983061 HRO983061 IBK983061 ILG983061 IVC983061 JEY983061 JOU983061 JYQ983061 KIM983061 KSI983061 LCE983061 LMA983061 LVW983061 MFS983061 MPO983061 MZK983061 NJG983061 NTC983061 OCY983061 OMU983061 OWQ983061 PGM983061 PQI983061 QAE983061 QKA983061 QTW983061 RDS983061 RNO983061 RXK983061 SHG983061 SRC983061 TAY983061 TKU983061 TUQ983061 UEM983061 UOI983061 UYE983061 VIA983061 VRW983061 WBS983061 WLO983061 WVK983061 D983047:F983054 D917511:F917518 D851975:F851982 D786439:F786446 D720903:F720910 D655367:F655374 D589831:F589838 D524295:F524302 D458759:F458766 D393223:F393230 D327687:F327694 D262151:F262158 D196615:F196622 D131079:F131086 D5:F12" xr:uid="{00000000-0002-0000-0000-000001000000}">
      <formula1>0</formula1>
    </dataValidation>
    <dataValidation type="list" allowBlank="1" showInputMessage="1" showErrorMessage="1" sqref="C18" xr:uid="{00000000-0002-0000-0000-000002000000}">
      <formula1>"給与,年金(65歳以上),年金(65歳未満),その他"</formula1>
    </dataValidation>
  </dataValidations>
  <pageMargins left="0.7" right="0.7" top="0.75" bottom="0.75" header="0.3" footer="0.3"/>
  <pageSetup paperSize="9" scale="5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Button 1">
              <controlPr defaultSize="0" print="0" autoFill="0" autoPict="0" macro="[0]!リセット">
                <anchor moveWithCells="1" sizeWithCells="1">
                  <from>
                    <xdr:col>5</xdr:col>
                    <xdr:colOff>1247775</xdr:colOff>
                    <xdr:row>0</xdr:row>
                    <xdr:rowOff>85725</xdr:rowOff>
                  </from>
                  <to>
                    <xdr:col>7</xdr:col>
                    <xdr:colOff>1095375</xdr:colOff>
                    <xdr:row>2</xdr:row>
                    <xdr:rowOff>104775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sheetPr>
  <dimension ref="B1:M24"/>
  <sheetViews>
    <sheetView zoomScale="80" zoomScaleNormal="80" workbookViewId="0">
      <selection activeCell="N17" sqref="N17"/>
    </sheetView>
  </sheetViews>
  <sheetFormatPr defaultColWidth="9" defaultRowHeight="19.5" x14ac:dyDescent="0.15"/>
  <cols>
    <col min="1" max="1" width="6.375" style="5" customWidth="1"/>
    <col min="2" max="2" width="14.625" style="5" customWidth="1"/>
    <col min="3" max="3" width="3.75" style="5" bestFit="1" customWidth="1"/>
    <col min="4" max="4" width="14.25" style="5" bestFit="1" customWidth="1"/>
    <col min="5" max="5" width="3.75" style="5" bestFit="1" customWidth="1"/>
    <col min="6" max="6" width="20.375" style="5" customWidth="1"/>
    <col min="7" max="7" width="3.75" style="5" bestFit="1" customWidth="1"/>
    <col min="8" max="8" width="51.875" style="5" bestFit="1" customWidth="1"/>
    <col min="9" max="9" width="9" style="5"/>
    <col min="10" max="10" width="9" style="121"/>
    <col min="11" max="11" width="9" style="119"/>
    <col min="12" max="13" width="9" style="121"/>
    <col min="14" max="16384" width="9" style="5"/>
  </cols>
  <sheetData>
    <row r="1" spans="2:8" ht="20.25" thickBot="1" x14ac:dyDescent="0.2"/>
    <row r="2" spans="2:8" ht="30" customHeight="1" thickBot="1" x14ac:dyDescent="0.2">
      <c r="B2" s="199" t="s">
        <v>0</v>
      </c>
      <c r="C2" s="200"/>
      <c r="D2" s="200"/>
      <c r="E2" s="201"/>
      <c r="F2" s="1"/>
      <c r="G2" s="6" t="s">
        <v>1</v>
      </c>
      <c r="H2" s="5" t="s">
        <v>3</v>
      </c>
    </row>
    <row r="3" spans="2:8" ht="30" customHeight="1" thickBot="1" x14ac:dyDescent="0.2">
      <c r="B3" s="199" t="s">
        <v>97</v>
      </c>
      <c r="C3" s="200"/>
      <c r="D3" s="200"/>
      <c r="E3" s="201"/>
      <c r="F3" s="158">
        <f>IFERROR(SUM(F14:F23,H11),"")</f>
        <v>0</v>
      </c>
      <c r="G3" s="6" t="s">
        <v>94</v>
      </c>
    </row>
    <row r="4" spans="2:8" ht="22.5" customHeight="1" x14ac:dyDescent="0.15"/>
    <row r="5" spans="2:8" ht="20.25" thickBot="1" x14ac:dyDescent="0.2">
      <c r="B5" s="5" t="s">
        <v>95</v>
      </c>
    </row>
    <row r="6" spans="2:8" x14ac:dyDescent="0.15">
      <c r="B6" s="202" t="s">
        <v>96</v>
      </c>
      <c r="C6" s="203"/>
      <c r="D6" s="203"/>
      <c r="E6" s="203"/>
      <c r="F6" s="188" t="s">
        <v>130</v>
      </c>
      <c r="G6" s="189"/>
      <c r="H6" s="179" t="s">
        <v>87</v>
      </c>
    </row>
    <row r="7" spans="2:8" x14ac:dyDescent="0.15">
      <c r="B7" s="204" t="s">
        <v>84</v>
      </c>
      <c r="C7" s="205"/>
      <c r="D7" s="205"/>
      <c r="E7" s="205"/>
      <c r="F7" s="190" t="s">
        <v>128</v>
      </c>
      <c r="G7" s="191"/>
      <c r="H7" s="180"/>
    </row>
    <row r="8" spans="2:8" x14ac:dyDescent="0.15">
      <c r="B8" s="184" t="s">
        <v>85</v>
      </c>
      <c r="C8" s="185"/>
      <c r="D8" s="185"/>
      <c r="E8" s="185"/>
      <c r="F8" s="190" t="s">
        <v>128</v>
      </c>
      <c r="G8" s="191"/>
      <c r="H8" s="180"/>
    </row>
    <row r="9" spans="2:8" ht="20.25" thickBot="1" x14ac:dyDescent="0.2">
      <c r="B9" s="186" t="s">
        <v>86</v>
      </c>
      <c r="C9" s="187"/>
      <c r="D9" s="187"/>
      <c r="E9" s="187"/>
      <c r="F9" s="192" t="s">
        <v>128</v>
      </c>
      <c r="G9" s="193"/>
      <c r="H9" s="180"/>
    </row>
    <row r="10" spans="2:8" ht="21" thickTop="1" thickBot="1" x14ac:dyDescent="0.2">
      <c r="B10" s="206" t="s">
        <v>83</v>
      </c>
      <c r="C10" s="207"/>
      <c r="D10" s="207"/>
      <c r="E10" s="207"/>
      <c r="F10" s="182" t="str">
        <f>IF(F2&lt;8500000,"非該当",IF(AND(F6="",F7="",F8="",F9=""),"",IF(AND(F6="非該当",F7="なし",F8="なし",F9="なし"),"非該当",IF(F2&gt;10000000,150000,(F2-8500000)*0.1))))</f>
        <v>非該当</v>
      </c>
      <c r="G10" s="183"/>
      <c r="H10" s="181"/>
    </row>
    <row r="11" spans="2:8" ht="20.25" thickBot="1" x14ac:dyDescent="0.2">
      <c r="B11" s="194" t="s">
        <v>88</v>
      </c>
      <c r="C11" s="195"/>
      <c r="D11" s="195"/>
      <c r="E11" s="195"/>
      <c r="F11" s="195"/>
      <c r="G11" s="196"/>
      <c r="H11" s="153" t="str">
        <f>IFERROR(IF(F10="非該当",$F$24,IF(F10="非該当","",F24-F10)),"")</f>
        <v/>
      </c>
    </row>
    <row r="12" spans="2:8" ht="20.25" thickBot="1" x14ac:dyDescent="0.2"/>
    <row r="13" spans="2:8" ht="30" customHeight="1" x14ac:dyDescent="0.15">
      <c r="B13" s="197" t="s">
        <v>4</v>
      </c>
      <c r="C13" s="198"/>
      <c r="D13" s="198"/>
      <c r="E13" s="198"/>
      <c r="F13" s="197" t="s">
        <v>5</v>
      </c>
      <c r="G13" s="198"/>
      <c r="H13" s="18" t="s">
        <v>6</v>
      </c>
    </row>
    <row r="14" spans="2:8" ht="30" customHeight="1" x14ac:dyDescent="0.15">
      <c r="B14" s="3"/>
      <c r="C14" s="7" t="s">
        <v>2</v>
      </c>
      <c r="D14" s="8">
        <v>550999</v>
      </c>
      <c r="E14" s="8" t="s">
        <v>1</v>
      </c>
      <c r="F14" s="2" t="str">
        <f>IF(AND(F2&lt;=D14,F2&lt;&gt;""),0,"")</f>
        <v/>
      </c>
      <c r="G14" s="9" t="s">
        <v>1</v>
      </c>
      <c r="H14" s="10" t="s">
        <v>7</v>
      </c>
    </row>
    <row r="15" spans="2:8" ht="30" customHeight="1" x14ac:dyDescent="0.15">
      <c r="B15" s="2">
        <v>551000</v>
      </c>
      <c r="C15" s="11" t="s">
        <v>2</v>
      </c>
      <c r="D15" s="12">
        <v>1618999</v>
      </c>
      <c r="E15" s="12" t="s">
        <v>1</v>
      </c>
      <c r="F15" s="3" t="str">
        <f>IF(AND($F$2&lt;=D15,$F$2&gt;=B15),F2-550000,"")</f>
        <v/>
      </c>
      <c r="G15" s="13" t="s">
        <v>1</v>
      </c>
      <c r="H15" s="10" t="s">
        <v>73</v>
      </c>
    </row>
    <row r="16" spans="2:8" ht="30" customHeight="1" x14ac:dyDescent="0.15">
      <c r="B16" s="3">
        <v>1619000</v>
      </c>
      <c r="C16" s="7" t="s">
        <v>2</v>
      </c>
      <c r="D16" s="8">
        <v>1619999</v>
      </c>
      <c r="E16" s="8" t="s">
        <v>1</v>
      </c>
      <c r="F16" s="2" t="str">
        <f>IF(AND($F$2&lt;=D16,$F$2&gt;=B16),1069000,"")</f>
        <v/>
      </c>
      <c r="G16" s="9" t="s">
        <v>1</v>
      </c>
      <c r="H16" s="10" t="s">
        <v>74</v>
      </c>
    </row>
    <row r="17" spans="2:8" ht="30" customHeight="1" x14ac:dyDescent="0.15">
      <c r="B17" s="2">
        <v>1620000</v>
      </c>
      <c r="C17" s="11" t="s">
        <v>2</v>
      </c>
      <c r="D17" s="12">
        <v>1621999</v>
      </c>
      <c r="E17" s="12" t="s">
        <v>1</v>
      </c>
      <c r="F17" s="3" t="str">
        <f>IF(AND($F$2&lt;=D17,$F$2&gt;=B17),1070000,"")</f>
        <v/>
      </c>
      <c r="G17" s="13" t="s">
        <v>1</v>
      </c>
      <c r="H17" s="10" t="s">
        <v>75</v>
      </c>
    </row>
    <row r="18" spans="2:8" ht="30" customHeight="1" x14ac:dyDescent="0.15">
      <c r="B18" s="3">
        <v>1622000</v>
      </c>
      <c r="C18" s="7" t="s">
        <v>2</v>
      </c>
      <c r="D18" s="8">
        <v>1623999</v>
      </c>
      <c r="E18" s="8" t="s">
        <v>1</v>
      </c>
      <c r="F18" s="2" t="str">
        <f>IF(AND($F$2&lt;=D18,$F$2&gt;=B18),1072000,"")</f>
        <v/>
      </c>
      <c r="G18" s="9" t="s">
        <v>1</v>
      </c>
      <c r="H18" s="10" t="s">
        <v>76</v>
      </c>
    </row>
    <row r="19" spans="2:8" ht="30" customHeight="1" x14ac:dyDescent="0.15">
      <c r="B19" s="2">
        <v>1624000</v>
      </c>
      <c r="C19" s="11" t="s">
        <v>2</v>
      </c>
      <c r="D19" s="12">
        <v>1627999</v>
      </c>
      <c r="E19" s="12" t="s">
        <v>1</v>
      </c>
      <c r="F19" s="3" t="str">
        <f>IF(AND($F$2&lt;=D19,$F$2&gt;=B19),1074000,"")</f>
        <v/>
      </c>
      <c r="G19" s="13" t="s">
        <v>1</v>
      </c>
      <c r="H19" s="10" t="s">
        <v>77</v>
      </c>
    </row>
    <row r="20" spans="2:8" ht="30" customHeight="1" x14ac:dyDescent="0.15">
      <c r="B20" s="3">
        <v>1628000</v>
      </c>
      <c r="C20" s="7" t="s">
        <v>2</v>
      </c>
      <c r="D20" s="8">
        <v>1799999</v>
      </c>
      <c r="E20" s="8" t="s">
        <v>1</v>
      </c>
      <c r="F20" s="2" t="str">
        <f>IF(AND($F$2&lt;=D20,$F$2&gt;=B20),(ROUNDDOWN(F2/4,-3)*2.4)+100000,"")</f>
        <v/>
      </c>
      <c r="G20" s="9" t="s">
        <v>1</v>
      </c>
      <c r="H20" s="10" t="s">
        <v>78</v>
      </c>
    </row>
    <row r="21" spans="2:8" ht="30" customHeight="1" x14ac:dyDescent="0.15">
      <c r="B21" s="2">
        <v>1800000</v>
      </c>
      <c r="C21" s="11" t="s">
        <v>2</v>
      </c>
      <c r="D21" s="12">
        <v>3599999</v>
      </c>
      <c r="E21" s="12" t="s">
        <v>1</v>
      </c>
      <c r="F21" s="3" t="str">
        <f>IF(AND($F$2&lt;=D21,$F$2&gt;=B21),(ROUNDDOWN(F2/4,-3)*2.8)-80000,"")</f>
        <v/>
      </c>
      <c r="G21" s="13" t="s">
        <v>1</v>
      </c>
      <c r="H21" s="10" t="s">
        <v>79</v>
      </c>
    </row>
    <row r="22" spans="2:8" ht="30" customHeight="1" x14ac:dyDescent="0.15">
      <c r="B22" s="3">
        <v>3600000</v>
      </c>
      <c r="C22" s="7" t="s">
        <v>2</v>
      </c>
      <c r="D22" s="8">
        <v>6599999</v>
      </c>
      <c r="E22" s="8" t="s">
        <v>1</v>
      </c>
      <c r="F22" s="2" t="str">
        <f>IF(AND($F$2&lt;=D22,$F$2&gt;=B22),(ROUNDDOWN(F2/4,-3)*3.2)-440000,"")</f>
        <v/>
      </c>
      <c r="G22" s="9" t="s">
        <v>1</v>
      </c>
      <c r="H22" s="10" t="s">
        <v>80</v>
      </c>
    </row>
    <row r="23" spans="2:8" ht="30" customHeight="1" x14ac:dyDescent="0.15">
      <c r="B23" s="2">
        <v>6600000</v>
      </c>
      <c r="C23" s="11" t="s">
        <v>2</v>
      </c>
      <c r="D23" s="12">
        <v>8499999</v>
      </c>
      <c r="E23" s="12" t="s">
        <v>1</v>
      </c>
      <c r="F23" s="3" t="str">
        <f>IF(AND($F$2&gt;=B23,$F$2&lt;=D23),(F2*0.9)-1100000,"")</f>
        <v/>
      </c>
      <c r="G23" s="13" t="s">
        <v>1</v>
      </c>
      <c r="H23" s="10" t="s">
        <v>81</v>
      </c>
    </row>
    <row r="24" spans="2:8" ht="30" customHeight="1" thickBot="1" x14ac:dyDescent="0.2">
      <c r="B24" s="4">
        <v>8500000</v>
      </c>
      <c r="C24" s="15" t="s">
        <v>2</v>
      </c>
      <c r="D24" s="14"/>
      <c r="E24" s="14"/>
      <c r="F24" s="120" t="str">
        <f>IF($F$2&gt;=B24,F2-1950000,"")</f>
        <v/>
      </c>
      <c r="G24" s="16" t="s">
        <v>1</v>
      </c>
      <c r="H24" s="17" t="s">
        <v>82</v>
      </c>
    </row>
  </sheetData>
  <sheetProtection selectLockedCells="1"/>
  <mergeCells count="16">
    <mergeCell ref="B11:G11"/>
    <mergeCell ref="F13:G13"/>
    <mergeCell ref="B2:E2"/>
    <mergeCell ref="B13:E13"/>
    <mergeCell ref="B6:E6"/>
    <mergeCell ref="B7:E7"/>
    <mergeCell ref="B10:E10"/>
    <mergeCell ref="B3:E3"/>
    <mergeCell ref="H6:H10"/>
    <mergeCell ref="F10:G10"/>
    <mergeCell ref="B8:E8"/>
    <mergeCell ref="B9:E9"/>
    <mergeCell ref="F6:G6"/>
    <mergeCell ref="F7:G7"/>
    <mergeCell ref="F8:G8"/>
    <mergeCell ref="F9:G9"/>
  </mergeCells>
  <phoneticPr fontId="1"/>
  <conditionalFormatting sqref="F6:G9">
    <cfRule type="expression" dxfId="1" priority="1">
      <formula>$F$2&lt;8500000</formula>
    </cfRule>
    <cfRule type="expression" dxfId="0" priority="2">
      <formula>$F$24&gt;6549999</formula>
    </cfRule>
  </conditionalFormatting>
  <dataValidations count="2">
    <dataValidation type="list" allowBlank="1" showInputMessage="1" showErrorMessage="1" sqref="F7:G9" xr:uid="{00000000-0002-0000-0100-000000000000}">
      <formula1>"なし,あり"</formula1>
    </dataValidation>
    <dataValidation type="list" allowBlank="1" showInputMessage="1" showErrorMessage="1" sqref="F6:G6" xr:uid="{00000000-0002-0000-0100-000001000000}">
      <formula1>"非該当,該当"</formula1>
    </dataValidation>
  </dataValidations>
  <pageMargins left="0.7" right="0.7" top="0.75" bottom="0.75" header="0.3" footer="0.3"/>
  <pageSetup paperSize="9" scale="7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7030A0"/>
    <pageSetUpPr fitToPage="1"/>
  </sheetPr>
  <dimension ref="B1:N23"/>
  <sheetViews>
    <sheetView zoomScale="85" zoomScaleNormal="85" workbookViewId="0">
      <selection activeCell="K4" sqref="K4"/>
    </sheetView>
  </sheetViews>
  <sheetFormatPr defaultColWidth="9" defaultRowHeight="13.5" x14ac:dyDescent="0.15"/>
  <cols>
    <col min="1" max="1" width="9" style="31"/>
    <col min="2" max="2" width="16.375" style="31" bestFit="1" customWidth="1"/>
    <col min="3" max="3" width="3.75" style="31" bestFit="1" customWidth="1"/>
    <col min="4" max="4" width="14.875" style="31" bestFit="1" customWidth="1"/>
    <col min="5" max="5" width="3.75" style="31" bestFit="1" customWidth="1"/>
    <col min="6" max="6" width="25.625" style="31" customWidth="1"/>
    <col min="7" max="7" width="3.75" style="31" bestFit="1" customWidth="1"/>
    <col min="8" max="8" width="28.375" style="31" customWidth="1"/>
    <col min="9" max="9" width="26.875" style="31" customWidth="1"/>
    <col min="10" max="10" width="4" style="31" customWidth="1"/>
    <col min="11" max="11" width="27.375" style="31" customWidth="1"/>
    <col min="12" max="12" width="23.875" style="31" customWidth="1"/>
    <col min="13" max="13" width="4.25" style="31" bestFit="1" customWidth="1"/>
    <col min="14" max="14" width="28.375" style="31" customWidth="1"/>
    <col min="15" max="16384" width="9" style="31"/>
  </cols>
  <sheetData>
    <row r="1" spans="2:14" s="19" customFormat="1" ht="20.25" thickBot="1" x14ac:dyDescent="0.2"/>
    <row r="2" spans="2:14" s="19" customFormat="1" ht="30" customHeight="1" thickBot="1" x14ac:dyDescent="0.2">
      <c r="B2" s="224" t="s">
        <v>8</v>
      </c>
      <c r="C2" s="225"/>
      <c r="D2" s="225"/>
      <c r="E2" s="226"/>
      <c r="F2" s="1"/>
      <c r="G2" s="20" t="s">
        <v>1</v>
      </c>
      <c r="H2" s="19" t="s">
        <v>3</v>
      </c>
    </row>
    <row r="3" spans="2:14" s="19" customFormat="1" ht="30" customHeight="1" thickBot="1" x14ac:dyDescent="0.2">
      <c r="B3" s="224" t="s">
        <v>12</v>
      </c>
      <c r="C3" s="225"/>
      <c r="D3" s="225"/>
      <c r="E3" s="226"/>
      <c r="F3" s="1"/>
      <c r="G3" s="20" t="s">
        <v>11</v>
      </c>
    </row>
    <row r="4" spans="2:14" s="19" customFormat="1" ht="30" customHeight="1" thickBot="1" x14ac:dyDescent="0.5">
      <c r="B4" s="224" t="s">
        <v>123</v>
      </c>
      <c r="C4" s="225"/>
      <c r="D4" s="225"/>
      <c r="E4" s="226"/>
      <c r="F4" s="156" ph="1"/>
      <c r="G4" s="20" t="s">
        <v>122</v>
      </c>
    </row>
    <row r="5" spans="2:14" s="19" customFormat="1" ht="30" customHeight="1" thickBot="1" x14ac:dyDescent="0.2">
      <c r="B5" s="224" t="s">
        <v>127</v>
      </c>
      <c r="C5" s="225"/>
      <c r="D5" s="225"/>
      <c r="E5" s="226"/>
      <c r="F5" s="154">
        <f>SUM(F10:F14,I10:I14,L10:L14,F19:F23,I19:I23,L19:L23)</f>
        <v>0</v>
      </c>
      <c r="G5" s="20" t="s">
        <v>126</v>
      </c>
    </row>
    <row r="6" spans="2:14" s="19" customFormat="1" ht="13.5" customHeight="1" x14ac:dyDescent="0.15"/>
    <row r="7" spans="2:14" s="19" customFormat="1" ht="23.25" customHeight="1" thickBot="1" x14ac:dyDescent="0.2">
      <c r="B7" s="19" t="s">
        <v>98</v>
      </c>
    </row>
    <row r="8" spans="2:14" s="19" customFormat="1" ht="30" customHeight="1" x14ac:dyDescent="0.15">
      <c r="B8" s="208" t="s">
        <v>4</v>
      </c>
      <c r="C8" s="209"/>
      <c r="D8" s="209"/>
      <c r="E8" s="210"/>
      <c r="F8" s="214" t="s">
        <v>111</v>
      </c>
      <c r="G8" s="215"/>
      <c r="H8" s="216"/>
      <c r="I8" s="217" t="s">
        <v>112</v>
      </c>
      <c r="J8" s="218"/>
      <c r="K8" s="219"/>
      <c r="L8" s="217" t="s">
        <v>113</v>
      </c>
      <c r="M8" s="218"/>
      <c r="N8" s="219"/>
    </row>
    <row r="9" spans="2:14" s="19" customFormat="1" ht="30" customHeight="1" x14ac:dyDescent="0.15">
      <c r="B9" s="211"/>
      <c r="C9" s="212"/>
      <c r="D9" s="212"/>
      <c r="E9" s="213"/>
      <c r="F9" s="220" t="s">
        <v>9</v>
      </c>
      <c r="G9" s="221"/>
      <c r="H9" s="122" t="s">
        <v>6</v>
      </c>
      <c r="I9" s="222" t="s">
        <v>9</v>
      </c>
      <c r="J9" s="223"/>
      <c r="K9" s="123" t="s">
        <v>6</v>
      </c>
      <c r="L9" s="222" t="s">
        <v>9</v>
      </c>
      <c r="M9" s="223"/>
      <c r="N9" s="123" t="s">
        <v>6</v>
      </c>
    </row>
    <row r="10" spans="2:14" s="19" customFormat="1" ht="30" customHeight="1" x14ac:dyDescent="0.15">
      <c r="B10" s="24"/>
      <c r="C10" s="26" t="s">
        <v>2</v>
      </c>
      <c r="D10" s="27">
        <v>1299999</v>
      </c>
      <c r="E10" s="124" t="s">
        <v>1</v>
      </c>
      <c r="F10" s="21" t="str">
        <f>IF(F4="1000万円以下",IF(AND($F$3&lt;65,$F$3&gt;60,$F$2&lt;=$D$10,$F$2&gt;600000),$F$2-600000,IF(AND($F$3&lt;65,$F$3&gt;60,$F$2&lt;=600000),0,"")),"")</f>
        <v/>
      </c>
      <c r="G10" s="125" t="s">
        <v>1</v>
      </c>
      <c r="H10" s="126" t="s">
        <v>89</v>
      </c>
      <c r="I10" s="21" t="str">
        <f>IF(F4="1000～2000万円",IF(AND($F$3&lt;65,$F$3&gt;60,$F$2&lt;=$D$10,$F$2&gt;500000),$F$2-500000,IF(AND($F$3&lt;65,$F$3&gt;60,$F$2&lt;=500000),0,"")),"")</f>
        <v/>
      </c>
      <c r="J10" s="125" t="s">
        <v>1</v>
      </c>
      <c r="K10" s="126" t="s">
        <v>99</v>
      </c>
      <c r="L10" s="21" t="str">
        <f>IF(F4="2000万円以上",IF(AND($F$3&lt;65,$F$3&gt;60,$F$2&lt;=$D$10,$F$2&gt;400000),$F$2-400000,IF(AND($F$3&lt;65,$F$3&gt;60,$F$2&lt;=400000),0,"")),"")</f>
        <v/>
      </c>
      <c r="M10" s="125" t="s">
        <v>1</v>
      </c>
      <c r="N10" s="126" t="s">
        <v>105</v>
      </c>
    </row>
    <row r="11" spans="2:14" s="19" customFormat="1" ht="30" customHeight="1" x14ac:dyDescent="0.15">
      <c r="B11" s="21">
        <v>1300000</v>
      </c>
      <c r="C11" s="22" t="s">
        <v>2</v>
      </c>
      <c r="D11" s="23">
        <v>4099999</v>
      </c>
      <c r="E11" s="127" t="s">
        <v>1</v>
      </c>
      <c r="F11" s="24" t="str">
        <f>IF(F4="1000万円以下",IF(AND($F$3&lt;65,$F$3&gt;60,$F$2&lt;=$D$11,$F$2&gt;=$B$11),($F$2*0.75)-275000,""),"")</f>
        <v/>
      </c>
      <c r="G11" s="125" t="s">
        <v>1</v>
      </c>
      <c r="H11" s="126" t="s">
        <v>90</v>
      </c>
      <c r="I11" s="24" t="str">
        <f>IF(F4="1000～2000万円",IF(AND($F$3&lt;65,$F$3&gt;60,$F$2&lt;=$D$11,$F$2&gt;=$B$11),($F$2*0.75)-175000,""),"")</f>
        <v/>
      </c>
      <c r="J11" s="125" t="s">
        <v>1</v>
      </c>
      <c r="K11" s="126" t="s">
        <v>100</v>
      </c>
      <c r="L11" s="24" t="str">
        <f>IF(F4="2000万円以上",IF(AND($F$3&lt;65,$F$3&gt;60,$F$2&lt;=$D$11,$F$2&gt;=$B$11),($F$2*0.75)-75000,""),"")</f>
        <v/>
      </c>
      <c r="M11" s="125" t="s">
        <v>1</v>
      </c>
      <c r="N11" s="126" t="s">
        <v>106</v>
      </c>
    </row>
    <row r="12" spans="2:14" s="19" customFormat="1" ht="30" customHeight="1" x14ac:dyDescent="0.15">
      <c r="B12" s="24">
        <v>4100000</v>
      </c>
      <c r="C12" s="26" t="s">
        <v>2</v>
      </c>
      <c r="D12" s="27">
        <v>7699999</v>
      </c>
      <c r="E12" s="124" t="s">
        <v>1</v>
      </c>
      <c r="F12" s="24" t="str">
        <f>IF(F4="1000万円以下",IF(AND($F$3&lt;65,$F$3&gt;60,$F$2&lt;=$D$12,$F$2&gt;=$B$12),($F$2*0.85)-685000,""),"")</f>
        <v/>
      </c>
      <c r="G12" s="125" t="s">
        <v>1</v>
      </c>
      <c r="H12" s="126" t="s">
        <v>91</v>
      </c>
      <c r="I12" s="24" t="str">
        <f>IF(F4="1000～2000万円",IF(AND($F$3&lt;65,$F$3&gt;60,$F$2&lt;=$D$12,$F$2&gt;=$B$12),($F$2*0.85)-585000,""),"")</f>
        <v/>
      </c>
      <c r="J12" s="125" t="s">
        <v>1</v>
      </c>
      <c r="K12" s="126" t="s">
        <v>101</v>
      </c>
      <c r="L12" s="24" t="str">
        <f>IF(F4="2000万円以上",IF(AND($F$3&lt;65,$F$3&gt;60,$F$2&lt;=$D$12,$F$2&gt;=$B$12),($F$2*0.85)-485000,""),"")</f>
        <v/>
      </c>
      <c r="M12" s="125" t="s">
        <v>1</v>
      </c>
      <c r="N12" s="126" t="s">
        <v>107</v>
      </c>
    </row>
    <row r="13" spans="2:14" s="19" customFormat="1" ht="30" customHeight="1" x14ac:dyDescent="0.15">
      <c r="B13" s="21">
        <v>7700000</v>
      </c>
      <c r="C13" s="22" t="s">
        <v>2</v>
      </c>
      <c r="D13" s="23">
        <v>9999999</v>
      </c>
      <c r="E13" s="127" t="s">
        <v>1</v>
      </c>
      <c r="F13" s="128" t="str">
        <f>IF(F4="1000万円以下",IF(AND($F$3&lt;65,$F$3&gt;60,$F$2&gt;=$B$13,$F$2&lt;=$D$13),($F$2*0.95)-1455000,""),"")</f>
        <v/>
      </c>
      <c r="G13" s="129" t="s">
        <v>1</v>
      </c>
      <c r="H13" s="130" t="s">
        <v>92</v>
      </c>
      <c r="I13" s="128" t="str">
        <f>IF(F4="1000～2000万円",IF(AND($F$3&lt;65,$F$3&gt;60,$F$2&lt;=$D$13,$F$2&gt;=$B$13),($F$2*0.95)-1355000,""),"")</f>
        <v/>
      </c>
      <c r="J13" s="129" t="s">
        <v>1</v>
      </c>
      <c r="K13" s="130" t="s">
        <v>102</v>
      </c>
      <c r="L13" s="128" t="str">
        <f>IF(F4="2000万円以上",IF(AND($F$3&lt;65,$F$3&gt;60,$F$2&gt;=$B$13,$F$2&lt;=$D$13),($F$2*0.95)-1255000,""),"")</f>
        <v/>
      </c>
      <c r="M13" s="129" t="s">
        <v>1</v>
      </c>
      <c r="N13" s="130" t="s">
        <v>108</v>
      </c>
    </row>
    <row r="14" spans="2:14" s="19" customFormat="1" ht="30" customHeight="1" thickBot="1" x14ac:dyDescent="0.2">
      <c r="B14" s="29">
        <v>10000000</v>
      </c>
      <c r="C14" s="131" t="s">
        <v>2</v>
      </c>
      <c r="D14" s="132"/>
      <c r="E14" s="133"/>
      <c r="F14" s="29" t="str">
        <f>IF(F4="1000万円以下",IF(AND($F$3&lt;65,$F$3&gt;60,$F$2&gt;=$B$14),$F$2-1955000,""),"")</f>
        <v/>
      </c>
      <c r="G14" s="134" t="s">
        <v>1</v>
      </c>
      <c r="H14" s="135" t="s">
        <v>93</v>
      </c>
      <c r="I14" s="29" t="str">
        <f>IF(F4="1000～2000万円",IF(AND($F$3&lt;65,$F$2&gt;=$B$14),$F$2-1855000,""),"")</f>
        <v/>
      </c>
      <c r="J14" s="134" t="s">
        <v>1</v>
      </c>
      <c r="K14" s="135" t="s">
        <v>103</v>
      </c>
      <c r="L14" s="29" t="str">
        <f>IF(F4="2000万円以上",IF(AND($F$3&lt;65,$F$3&gt;60,$F$2&gt;=$B$14),$F$2-1755000,""),"")</f>
        <v/>
      </c>
      <c r="M14" s="134" t="s">
        <v>1</v>
      </c>
      <c r="N14" s="135" t="s">
        <v>109</v>
      </c>
    </row>
    <row r="15" spans="2:14" s="19" customFormat="1" ht="15" customHeight="1" x14ac:dyDescent="0.15"/>
    <row r="16" spans="2:14" s="19" customFormat="1" ht="21" customHeight="1" thickBot="1" x14ac:dyDescent="0.2">
      <c r="B16" s="19" t="s">
        <v>10</v>
      </c>
    </row>
    <row r="17" spans="2:14" s="19" customFormat="1" ht="30" customHeight="1" x14ac:dyDescent="0.15">
      <c r="B17" s="208" t="s">
        <v>4</v>
      </c>
      <c r="C17" s="209"/>
      <c r="D17" s="209"/>
      <c r="E17" s="210"/>
      <c r="F17" s="214" t="s">
        <v>111</v>
      </c>
      <c r="G17" s="215"/>
      <c r="H17" s="216"/>
      <c r="I17" s="217" t="s">
        <v>112</v>
      </c>
      <c r="J17" s="218"/>
      <c r="K17" s="219"/>
      <c r="L17" s="217" t="s">
        <v>113</v>
      </c>
      <c r="M17" s="218"/>
      <c r="N17" s="219"/>
    </row>
    <row r="18" spans="2:14" s="19" customFormat="1" ht="30" customHeight="1" x14ac:dyDescent="0.15">
      <c r="B18" s="211"/>
      <c r="C18" s="212"/>
      <c r="D18" s="212"/>
      <c r="E18" s="213"/>
      <c r="F18" s="220" t="s">
        <v>9</v>
      </c>
      <c r="G18" s="221"/>
      <c r="H18" s="122" t="s">
        <v>6</v>
      </c>
      <c r="I18" s="222" t="s">
        <v>9</v>
      </c>
      <c r="J18" s="223"/>
      <c r="K18" s="123" t="s">
        <v>6</v>
      </c>
      <c r="L18" s="222" t="s">
        <v>9</v>
      </c>
      <c r="M18" s="223"/>
      <c r="N18" s="123" t="s">
        <v>6</v>
      </c>
    </row>
    <row r="19" spans="2:14" s="19" customFormat="1" ht="30" customHeight="1" x14ac:dyDescent="0.15">
      <c r="B19" s="24"/>
      <c r="C19" s="26" t="s">
        <v>2</v>
      </c>
      <c r="D19" s="27">
        <v>3299999</v>
      </c>
      <c r="E19" s="124" t="s">
        <v>1</v>
      </c>
      <c r="F19" s="21" t="str">
        <f>IF(F4="1000万円以下",IF(AND($F$3&gt;=65,$F$2&lt;=$D$19,$F$2&gt;1100000),$F$2-1100000,IF(AND($F$3&gt;=65,$F$2&lt;=1100000),0,"")),"")</f>
        <v/>
      </c>
      <c r="G19" s="28" t="s">
        <v>1</v>
      </c>
      <c r="H19" s="126" t="s">
        <v>114</v>
      </c>
      <c r="I19" s="21" t="str">
        <f>IF(F4="1000～2000万円",IF(AND($F$3&gt;=65,$F$2&lt;=$D$19,$F$2&gt;1000000),$F$2-1000000,IF(AND($F$3&gt;=65,$F$2&lt;=1000000),0,"")),"")</f>
        <v/>
      </c>
      <c r="J19" s="28" t="s">
        <v>1</v>
      </c>
      <c r="K19" s="126" t="s">
        <v>104</v>
      </c>
      <c r="L19" s="21" t="str">
        <f>IF(F4="2000万円以上",IF(AND($F$3&gt;=65,$F$2&lt;=$D$19,$F$2&gt;900000),$F$2-900000,IF(AND($F$3&gt;=65,$F$2&lt;=900000),0,"")),"")</f>
        <v/>
      </c>
      <c r="M19" s="28" t="s">
        <v>1</v>
      </c>
      <c r="N19" s="126" t="s">
        <v>110</v>
      </c>
    </row>
    <row r="20" spans="2:14" s="19" customFormat="1" ht="30" customHeight="1" x14ac:dyDescent="0.15">
      <c r="B20" s="21">
        <v>3300000</v>
      </c>
      <c r="C20" s="22" t="s">
        <v>2</v>
      </c>
      <c r="D20" s="23">
        <v>4099999</v>
      </c>
      <c r="E20" s="127" t="s">
        <v>1</v>
      </c>
      <c r="F20" s="24" t="str">
        <f>IF(F4="1000万円以下",IF(AND($F$3&gt;=65,$F$2&lt;=$D$20,$F$2&gt;=$B$20),($F$2*0.75)-275000,""),"")</f>
        <v/>
      </c>
      <c r="G20" s="25" t="s">
        <v>1</v>
      </c>
      <c r="H20" s="126" t="s">
        <v>90</v>
      </c>
      <c r="I20" s="24" t="str">
        <f>IF(F4="1000～2000万円",IF(AND($F$3&gt;=65,$F$2&lt;=$D$20,$F$2&gt;=$B$20),($F$2*0.75)-175000,""),"")</f>
        <v/>
      </c>
      <c r="J20" s="25" t="s">
        <v>1</v>
      </c>
      <c r="K20" s="126" t="s">
        <v>100</v>
      </c>
      <c r="L20" s="24" t="str">
        <f>IF(F4="2000万円以上",IF(AND($F$3&gt;=65,$F$2&lt;=$D$20,$F$2&gt;=$B$20),($F$2*0.75)-75000,""),"")</f>
        <v/>
      </c>
      <c r="M20" s="25" t="s">
        <v>1</v>
      </c>
      <c r="N20" s="126" t="s">
        <v>106</v>
      </c>
    </row>
    <row r="21" spans="2:14" s="19" customFormat="1" ht="30" customHeight="1" x14ac:dyDescent="0.15">
      <c r="B21" s="24">
        <v>4100000</v>
      </c>
      <c r="C21" s="26" t="s">
        <v>2</v>
      </c>
      <c r="D21" s="27">
        <v>7699999</v>
      </c>
      <c r="E21" s="124" t="s">
        <v>1</v>
      </c>
      <c r="F21" s="21" t="str">
        <f>IF(F4="1000万円以下",IF(AND($F$3&gt;=65,$F$2&lt;=$D$21,$F$2&gt;=$B$21),($F$2*0.85)-685000,""),"")</f>
        <v/>
      </c>
      <c r="G21" s="28" t="s">
        <v>1</v>
      </c>
      <c r="H21" s="126" t="s">
        <v>91</v>
      </c>
      <c r="I21" s="21" t="str">
        <f>IF(F4="1000～2000万円",IF(AND($F$3&gt;=65,$F$2&lt;=$D$21,$F$2&gt;=$B$21),($F$2*0.85)-585000,""),"")</f>
        <v/>
      </c>
      <c r="J21" s="28" t="s">
        <v>1</v>
      </c>
      <c r="K21" s="126" t="s">
        <v>101</v>
      </c>
      <c r="L21" s="21" t="str">
        <f>IF(F4="2000万円以上",IF(AND($F$3&gt;=65,$F$2&lt;=$D$21,$F$2&gt;=$B$21),($F$2*0.85)-485000,""),"")</f>
        <v/>
      </c>
      <c r="M21" s="28" t="s">
        <v>1</v>
      </c>
      <c r="N21" s="126" t="s">
        <v>107</v>
      </c>
    </row>
    <row r="22" spans="2:14" s="19" customFormat="1" ht="30" customHeight="1" x14ac:dyDescent="0.15">
      <c r="B22" s="21">
        <v>7700000</v>
      </c>
      <c r="C22" s="22" t="s">
        <v>2</v>
      </c>
      <c r="D22" s="23">
        <v>9999999</v>
      </c>
      <c r="E22" s="127" t="s">
        <v>1</v>
      </c>
      <c r="F22" s="128" t="str">
        <f>IF(F4="1000万円以下",IF(AND($F$3&gt;=65,$F$2&gt;=$B$22,$F$2&lt;=$D$22),($F$2*0.95)-1455000,""),"")</f>
        <v/>
      </c>
      <c r="G22" s="136" t="s">
        <v>1</v>
      </c>
      <c r="H22" s="130" t="s">
        <v>92</v>
      </c>
      <c r="I22" s="128" t="str">
        <f>IF(F4="1000～2000万円",IF(AND($F$3&gt;=65,$F$2&gt;=$B$22,$F$2&lt;=$D$22),($F$2*0.95)-1355000,""),"")</f>
        <v/>
      </c>
      <c r="J22" s="136" t="s">
        <v>1</v>
      </c>
      <c r="K22" s="130" t="s">
        <v>102</v>
      </c>
      <c r="L22" s="128" t="str">
        <f>IF(F4="2000万円以上",IF(AND($F$3&gt;=65,$F$2&gt;=$B$22,$F$2&lt;=$D$22),($F$2*0.95)-1255000,""),"")</f>
        <v/>
      </c>
      <c r="M22" s="136" t="s">
        <v>1</v>
      </c>
      <c r="N22" s="130" t="s">
        <v>108</v>
      </c>
    </row>
    <row r="23" spans="2:14" ht="32.25" customHeight="1" thickBot="1" x14ac:dyDescent="0.2">
      <c r="B23" s="29">
        <v>10000000</v>
      </c>
      <c r="C23" s="131" t="s">
        <v>2</v>
      </c>
      <c r="D23" s="30"/>
      <c r="E23" s="137" t="s">
        <v>115</v>
      </c>
      <c r="F23" s="29" t="str">
        <f>IF(F4="1000万円以下",IF(AND($F$3&gt;=65,$F$2&gt;=$B$23,$F$2&lt;&gt;""),$F$2-1955000,""),"")</f>
        <v/>
      </c>
      <c r="G23" s="30" t="s">
        <v>115</v>
      </c>
      <c r="H23" s="135" t="s">
        <v>93</v>
      </c>
      <c r="I23" s="29" t="str">
        <f>IF(F4="1000～2000万円",IF(AND($F$3&gt;=65,$F$2&gt;=$B$23,$F$2&lt;&gt;""),$F$2-1855000,""),"")</f>
        <v/>
      </c>
      <c r="J23" s="30" t="s">
        <v>115</v>
      </c>
      <c r="K23" s="135" t="s">
        <v>103</v>
      </c>
      <c r="L23" s="29" t="str">
        <f>IF(F4="2000万円以上",IF(AND($F$3&gt;=65,$F$2&gt;=$B$23,$F$2&lt;&gt;""),$F$2-1755000,""),"")</f>
        <v/>
      </c>
      <c r="M23" s="30" t="s">
        <v>115</v>
      </c>
      <c r="N23" s="135" t="s">
        <v>109</v>
      </c>
    </row>
  </sheetData>
  <sheetProtection selectLockedCells="1"/>
  <mergeCells count="18">
    <mergeCell ref="L8:N8"/>
    <mergeCell ref="F9:G9"/>
    <mergeCell ref="I9:J9"/>
    <mergeCell ref="L9:M9"/>
    <mergeCell ref="B2:E2"/>
    <mergeCell ref="B3:E3"/>
    <mergeCell ref="B8:E9"/>
    <mergeCell ref="F8:H8"/>
    <mergeCell ref="I8:K8"/>
    <mergeCell ref="B4:E4"/>
    <mergeCell ref="B5:E5"/>
    <mergeCell ref="B17:E18"/>
    <mergeCell ref="F17:H17"/>
    <mergeCell ref="I17:K17"/>
    <mergeCell ref="L17:N17"/>
    <mergeCell ref="F18:G18"/>
    <mergeCell ref="I18:J18"/>
    <mergeCell ref="L18:M18"/>
  </mergeCells>
  <phoneticPr fontId="1"/>
  <dataValidations count="1">
    <dataValidation type="list" allowBlank="1" showInputMessage="1" showErrorMessage="1" sqref="F4" xr:uid="{00000000-0002-0000-0200-000000000000}">
      <formula1>"1000万円以下,1000～2000万円,2000万円以上"</formula1>
    </dataValidation>
  </dataValidations>
  <pageMargins left="0.7" right="0.7" top="0.75" bottom="0.75" header="0.3" footer="0.3"/>
  <pageSetup paperSize="9" scale="3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U43"/>
  <sheetViews>
    <sheetView zoomScale="70" zoomScaleNormal="70" workbookViewId="0">
      <selection activeCell="O15" sqref="O15"/>
    </sheetView>
  </sheetViews>
  <sheetFormatPr defaultColWidth="9" defaultRowHeight="19.5" x14ac:dyDescent="0.15"/>
  <cols>
    <col min="1" max="1" width="13.625" style="71" bestFit="1" customWidth="1"/>
    <col min="2" max="2" width="16" style="71" customWidth="1"/>
    <col min="3" max="3" width="16.375" style="72" bestFit="1" customWidth="1"/>
    <col min="4" max="4" width="15" style="71" customWidth="1"/>
    <col min="5" max="7" width="13.125" style="71" customWidth="1"/>
    <col min="8" max="8" width="4.25" style="83" customWidth="1"/>
    <col min="9" max="9" width="21.75" style="71" customWidth="1"/>
    <col min="10" max="12" width="13" style="72" customWidth="1"/>
    <col min="13" max="13" width="11.25" style="72" customWidth="1"/>
    <col min="14" max="16384" width="9" style="72"/>
  </cols>
  <sheetData>
    <row r="2" spans="1:21" ht="30" customHeight="1" x14ac:dyDescent="0.15">
      <c r="A2" s="69"/>
      <c r="B2" s="70" t="s">
        <v>22</v>
      </c>
      <c r="C2" s="70" t="s">
        <v>51</v>
      </c>
      <c r="D2" s="70" t="s">
        <v>24</v>
      </c>
      <c r="F2" s="72"/>
      <c r="G2" s="72"/>
      <c r="H2" s="72"/>
      <c r="I2" s="72"/>
    </row>
    <row r="3" spans="1:21" ht="30" customHeight="1" x14ac:dyDescent="0.15">
      <c r="A3" s="73" t="s">
        <v>52</v>
      </c>
      <c r="B3" s="74">
        <v>7.0000000000000007E-2</v>
      </c>
      <c r="C3" s="74">
        <v>2.5000000000000001E-2</v>
      </c>
      <c r="D3" s="74">
        <v>2.1000000000000001E-2</v>
      </c>
      <c r="F3" s="72"/>
      <c r="G3" s="75"/>
      <c r="H3" s="72"/>
      <c r="I3" s="76"/>
      <c r="K3" s="76"/>
      <c r="M3" s="76"/>
    </row>
    <row r="4" spans="1:21" ht="30" customHeight="1" x14ac:dyDescent="0.15">
      <c r="A4" s="73" t="s">
        <v>53</v>
      </c>
      <c r="B4" s="77">
        <v>26400</v>
      </c>
      <c r="C4" s="77">
        <v>9200</v>
      </c>
      <c r="D4" s="77">
        <v>9900</v>
      </c>
      <c r="F4" s="72"/>
      <c r="G4" s="75"/>
      <c r="H4" s="72"/>
      <c r="I4" s="76"/>
      <c r="K4" s="76"/>
      <c r="M4" s="76"/>
      <c r="Q4" s="230"/>
      <c r="R4" s="230"/>
      <c r="S4" s="230"/>
      <c r="T4" s="230"/>
      <c r="U4" s="230"/>
    </row>
    <row r="5" spans="1:21" ht="30" customHeight="1" x14ac:dyDescent="0.15">
      <c r="A5" s="73" t="s">
        <v>54</v>
      </c>
      <c r="B5" s="77">
        <v>20100</v>
      </c>
      <c r="C5" s="77">
        <v>7100</v>
      </c>
      <c r="D5" s="77">
        <v>5800</v>
      </c>
      <c r="F5" s="72"/>
      <c r="G5" s="75"/>
      <c r="H5" s="72"/>
      <c r="I5" s="76"/>
      <c r="K5" s="76"/>
      <c r="M5" s="76"/>
      <c r="Q5" s="230"/>
      <c r="R5" s="230"/>
      <c r="S5" s="230"/>
      <c r="T5" s="230"/>
      <c r="U5" s="230"/>
    </row>
    <row r="6" spans="1:21" ht="30" customHeight="1" x14ac:dyDescent="0.15">
      <c r="A6" s="70" t="s">
        <v>32</v>
      </c>
      <c r="B6" s="78">
        <v>650000</v>
      </c>
      <c r="C6" s="78">
        <v>240000</v>
      </c>
      <c r="D6" s="78">
        <v>170000</v>
      </c>
      <c r="F6" s="72"/>
      <c r="G6" s="75"/>
      <c r="H6" s="72"/>
      <c r="I6" s="76"/>
      <c r="K6" s="76"/>
      <c r="M6" s="76"/>
    </row>
    <row r="7" spans="1:21" x14ac:dyDescent="0.15">
      <c r="A7" s="79"/>
      <c r="B7" s="80"/>
      <c r="C7" s="80"/>
      <c r="D7" s="80"/>
      <c r="F7" s="72"/>
      <c r="G7" s="75"/>
      <c r="H7" s="72"/>
      <c r="I7" s="76"/>
      <c r="K7" s="76"/>
      <c r="M7" s="76"/>
    </row>
    <row r="8" spans="1:21" ht="22.5" x14ac:dyDescent="0.15">
      <c r="A8" s="81" t="s">
        <v>55</v>
      </c>
      <c r="B8" s="82"/>
    </row>
    <row r="9" spans="1:21" ht="22.5" x14ac:dyDescent="0.15">
      <c r="A9" s="84" t="s">
        <v>56</v>
      </c>
      <c r="B9" s="85"/>
      <c r="I9" s="86" t="s">
        <v>71</v>
      </c>
      <c r="J9" s="96"/>
      <c r="K9" s="97"/>
      <c r="L9" s="96"/>
      <c r="M9" s="96"/>
    </row>
    <row r="10" spans="1:21" ht="36" customHeight="1" x14ac:dyDescent="0.15">
      <c r="A10" s="231" t="s">
        <v>57</v>
      </c>
      <c r="B10" s="229" t="s">
        <v>58</v>
      </c>
      <c r="C10" s="232" t="s">
        <v>59</v>
      </c>
      <c r="D10" s="229" t="s">
        <v>60</v>
      </c>
      <c r="E10" s="229"/>
      <c r="F10" s="229"/>
      <c r="G10" s="229"/>
      <c r="H10" s="87"/>
      <c r="I10" s="231" t="s">
        <v>65</v>
      </c>
      <c r="J10" s="229" t="s">
        <v>60</v>
      </c>
      <c r="K10" s="229"/>
      <c r="L10" s="229"/>
      <c r="M10" s="229"/>
    </row>
    <row r="11" spans="1:21" ht="36" customHeight="1" x14ac:dyDescent="0.15">
      <c r="A11" s="231"/>
      <c r="B11" s="229"/>
      <c r="C11" s="232"/>
      <c r="D11" s="88" t="s">
        <v>61</v>
      </c>
      <c r="E11" s="88" t="s">
        <v>62</v>
      </c>
      <c r="F11" s="89" t="s">
        <v>63</v>
      </c>
      <c r="G11" s="88" t="s">
        <v>64</v>
      </c>
      <c r="H11" s="87"/>
      <c r="I11" s="231"/>
      <c r="J11" s="88" t="s">
        <v>61</v>
      </c>
      <c r="K11" s="88" t="s">
        <v>62</v>
      </c>
      <c r="L11" s="89" t="s">
        <v>63</v>
      </c>
      <c r="M11" s="88" t="s">
        <v>64</v>
      </c>
    </row>
    <row r="12" spans="1:21" ht="37.5" customHeight="1" x14ac:dyDescent="0.15">
      <c r="A12" s="90">
        <v>0</v>
      </c>
      <c r="B12" s="90">
        <v>0</v>
      </c>
      <c r="C12" s="91">
        <v>0</v>
      </c>
      <c r="D12" s="90">
        <f t="shared" ref="D12:D31" si="0">IF(C12*$B$3&gt;=$B$6,$B$6,C12*$B$3)</f>
        <v>0</v>
      </c>
      <c r="E12" s="90">
        <f t="shared" ref="E12:E31" si="1">IF(C12*$C$3&gt;=$C$6,$C$6,C12*$C$3)</f>
        <v>0</v>
      </c>
      <c r="F12" s="90">
        <f t="shared" ref="F12:F31" si="2">IF(C12*$D$3&gt;=$D$6,$D$6,C12*$D$3)</f>
        <v>0</v>
      </c>
      <c r="G12" s="90">
        <f t="shared" ref="G12:G15" si="3">SUM(D12:F12)</f>
        <v>0</v>
      </c>
      <c r="H12" s="92"/>
      <c r="I12" s="90">
        <v>1</v>
      </c>
      <c r="J12" s="90">
        <f>I12*$B$4</f>
        <v>26400</v>
      </c>
      <c r="K12" s="90">
        <f>I12*$C$4</f>
        <v>9200</v>
      </c>
      <c r="L12" s="90">
        <f>I12*$D$4</f>
        <v>9900</v>
      </c>
      <c r="M12" s="90">
        <f t="shared" ref="M12:M15" si="4">SUM(J12:L12)</f>
        <v>45500</v>
      </c>
    </row>
    <row r="13" spans="1:21" ht="37.5" customHeight="1" x14ac:dyDescent="0.15">
      <c r="A13" s="93">
        <v>500000</v>
      </c>
      <c r="B13" s="94">
        <v>0</v>
      </c>
      <c r="C13" s="95">
        <v>0</v>
      </c>
      <c r="D13" s="94">
        <f t="shared" si="0"/>
        <v>0</v>
      </c>
      <c r="E13" s="94">
        <f t="shared" si="1"/>
        <v>0</v>
      </c>
      <c r="F13" s="94">
        <f t="shared" si="2"/>
        <v>0</v>
      </c>
      <c r="G13" s="94">
        <f t="shared" si="3"/>
        <v>0</v>
      </c>
      <c r="H13" s="92"/>
      <c r="I13" s="93">
        <v>2</v>
      </c>
      <c r="J13" s="94">
        <f t="shared" ref="J13:J15" si="5">I13*$B$4</f>
        <v>52800</v>
      </c>
      <c r="K13" s="94">
        <f t="shared" ref="K13:K15" si="6">I13*$C$4</f>
        <v>18400</v>
      </c>
      <c r="L13" s="94">
        <f t="shared" ref="L13:L15" si="7">I13*$D$4</f>
        <v>19800</v>
      </c>
      <c r="M13" s="94">
        <f t="shared" si="4"/>
        <v>91000</v>
      </c>
    </row>
    <row r="14" spans="1:21" ht="37.5" customHeight="1" x14ac:dyDescent="0.15">
      <c r="A14" s="90">
        <v>1000000</v>
      </c>
      <c r="B14" s="90">
        <v>450000</v>
      </c>
      <c r="C14" s="90">
        <f t="shared" ref="C14:C31" si="8">B14-430000</f>
        <v>20000</v>
      </c>
      <c r="D14" s="90">
        <f t="shared" si="0"/>
        <v>1400.0000000000002</v>
      </c>
      <c r="E14" s="90">
        <f t="shared" si="1"/>
        <v>500</v>
      </c>
      <c r="F14" s="90">
        <f t="shared" si="2"/>
        <v>420</v>
      </c>
      <c r="G14" s="90">
        <f t="shared" si="3"/>
        <v>2320</v>
      </c>
      <c r="H14" s="92"/>
      <c r="I14" s="90">
        <v>3</v>
      </c>
      <c r="J14" s="90">
        <f t="shared" si="5"/>
        <v>79200</v>
      </c>
      <c r="K14" s="90">
        <f t="shared" si="6"/>
        <v>27600</v>
      </c>
      <c r="L14" s="90">
        <f t="shared" si="7"/>
        <v>29700</v>
      </c>
      <c r="M14" s="90">
        <f t="shared" si="4"/>
        <v>136500</v>
      </c>
    </row>
    <row r="15" spans="1:21" ht="37.5" customHeight="1" x14ac:dyDescent="0.15">
      <c r="A15" s="93">
        <v>1500000</v>
      </c>
      <c r="B15" s="94">
        <v>950000</v>
      </c>
      <c r="C15" s="94">
        <f t="shared" si="8"/>
        <v>520000</v>
      </c>
      <c r="D15" s="94">
        <f t="shared" si="0"/>
        <v>36400</v>
      </c>
      <c r="E15" s="94">
        <f t="shared" si="1"/>
        <v>13000</v>
      </c>
      <c r="F15" s="94">
        <f t="shared" si="2"/>
        <v>10920</v>
      </c>
      <c r="G15" s="94">
        <f t="shared" si="3"/>
        <v>60320</v>
      </c>
      <c r="H15" s="92"/>
      <c r="I15" s="93">
        <v>4</v>
      </c>
      <c r="J15" s="94">
        <f t="shared" si="5"/>
        <v>105600</v>
      </c>
      <c r="K15" s="94">
        <f t="shared" si="6"/>
        <v>36800</v>
      </c>
      <c r="L15" s="94">
        <f t="shared" si="7"/>
        <v>39600</v>
      </c>
      <c r="M15" s="94">
        <f t="shared" si="4"/>
        <v>182000</v>
      </c>
    </row>
    <row r="16" spans="1:21" ht="37.5" customHeight="1" x14ac:dyDescent="0.15">
      <c r="A16" s="90">
        <v>2000000</v>
      </c>
      <c r="B16" s="90">
        <v>1320000</v>
      </c>
      <c r="C16" s="90">
        <f t="shared" si="8"/>
        <v>890000</v>
      </c>
      <c r="D16" s="90">
        <f t="shared" si="0"/>
        <v>62300.000000000007</v>
      </c>
      <c r="E16" s="90">
        <f t="shared" si="1"/>
        <v>22250</v>
      </c>
      <c r="F16" s="90">
        <f t="shared" si="2"/>
        <v>18690</v>
      </c>
      <c r="G16" s="90">
        <f>SUM(D16:F16)</f>
        <v>103240</v>
      </c>
      <c r="H16" s="92"/>
      <c r="I16" s="100" t="s">
        <v>67</v>
      </c>
      <c r="J16" s="90">
        <f>ROUNDDOWN(J12*0.3,-2)</f>
        <v>7900</v>
      </c>
      <c r="K16" s="90">
        <f>ROUNDDOWN(K12*0.3,-2)</f>
        <v>2700</v>
      </c>
      <c r="L16" s="90">
        <f>ROUNDDOWN(L12*0.3,-2)</f>
        <v>2900</v>
      </c>
      <c r="M16" s="90">
        <f>SUM(J16:L16)</f>
        <v>13500</v>
      </c>
    </row>
    <row r="17" spans="1:13" ht="37.5" customHeight="1" x14ac:dyDescent="0.15">
      <c r="A17" s="93">
        <v>2500000</v>
      </c>
      <c r="B17" s="94">
        <v>1670000</v>
      </c>
      <c r="C17" s="94">
        <f t="shared" si="8"/>
        <v>1240000</v>
      </c>
      <c r="D17" s="94">
        <f t="shared" si="0"/>
        <v>86800.000000000015</v>
      </c>
      <c r="E17" s="94">
        <f t="shared" si="1"/>
        <v>31000</v>
      </c>
      <c r="F17" s="94">
        <f t="shared" si="2"/>
        <v>26040</v>
      </c>
      <c r="G17" s="94">
        <f t="shared" ref="G17:G31" si="9">SUM(D17:F17)</f>
        <v>143840</v>
      </c>
      <c r="H17" s="92"/>
      <c r="I17" s="101" t="s">
        <v>68</v>
      </c>
      <c r="J17" s="94">
        <f>ROUNDDOWN(J12*0.5,-2)</f>
        <v>13200</v>
      </c>
      <c r="K17" s="94">
        <f t="shared" ref="K17:L17" si="10">ROUNDDOWN(K12*0.5,-2)</f>
        <v>4600</v>
      </c>
      <c r="L17" s="94">
        <f t="shared" si="10"/>
        <v>4900</v>
      </c>
      <c r="M17" s="94">
        <f t="shared" ref="M17:M18" si="11">SUM(J17:L17)</f>
        <v>22700</v>
      </c>
    </row>
    <row r="18" spans="1:13" ht="37.5" customHeight="1" x14ac:dyDescent="0.15">
      <c r="A18" s="90">
        <v>3000000</v>
      </c>
      <c r="B18" s="90">
        <v>2020000</v>
      </c>
      <c r="C18" s="90">
        <f t="shared" si="8"/>
        <v>1590000</v>
      </c>
      <c r="D18" s="90">
        <f t="shared" si="0"/>
        <v>111300.00000000001</v>
      </c>
      <c r="E18" s="90">
        <f t="shared" si="1"/>
        <v>39750</v>
      </c>
      <c r="F18" s="90">
        <f t="shared" si="2"/>
        <v>33390</v>
      </c>
      <c r="G18" s="90">
        <f t="shared" si="9"/>
        <v>184440</v>
      </c>
      <c r="H18" s="92"/>
      <c r="I18" s="100" t="s">
        <v>69</v>
      </c>
      <c r="J18" s="90">
        <f>ROUNDDOWN(J12*0.8,-2)</f>
        <v>21100</v>
      </c>
      <c r="K18" s="90">
        <f t="shared" ref="K18:L18" si="12">ROUNDDOWN(K12*0.8,-2)</f>
        <v>7300</v>
      </c>
      <c r="L18" s="90">
        <f t="shared" si="12"/>
        <v>7900</v>
      </c>
      <c r="M18" s="90">
        <f t="shared" si="11"/>
        <v>36300</v>
      </c>
    </row>
    <row r="19" spans="1:13" ht="37.5" customHeight="1" x14ac:dyDescent="0.15">
      <c r="A19" s="93">
        <v>3500000</v>
      </c>
      <c r="B19" s="94">
        <v>2370000</v>
      </c>
      <c r="C19" s="94">
        <f t="shared" si="8"/>
        <v>1940000</v>
      </c>
      <c r="D19" s="94">
        <f t="shared" si="0"/>
        <v>135800</v>
      </c>
      <c r="E19" s="94">
        <f t="shared" si="1"/>
        <v>48500</v>
      </c>
      <c r="F19" s="94">
        <f t="shared" si="2"/>
        <v>40740</v>
      </c>
      <c r="G19" s="94">
        <f t="shared" si="9"/>
        <v>225040</v>
      </c>
      <c r="H19" s="92"/>
      <c r="I19" s="72"/>
    </row>
    <row r="20" spans="1:13" ht="37.5" customHeight="1" x14ac:dyDescent="0.15">
      <c r="A20" s="90">
        <v>4000000</v>
      </c>
      <c r="B20" s="90">
        <v>2760000</v>
      </c>
      <c r="C20" s="90">
        <f t="shared" si="8"/>
        <v>2330000</v>
      </c>
      <c r="D20" s="90">
        <f t="shared" si="0"/>
        <v>163100.00000000003</v>
      </c>
      <c r="E20" s="90">
        <f t="shared" si="1"/>
        <v>58250</v>
      </c>
      <c r="F20" s="90">
        <f t="shared" si="2"/>
        <v>48930</v>
      </c>
      <c r="G20" s="90">
        <f t="shared" si="9"/>
        <v>270280</v>
      </c>
      <c r="H20" s="92"/>
      <c r="I20" s="99" t="s">
        <v>72</v>
      </c>
      <c r="J20" s="97"/>
      <c r="K20" s="97"/>
      <c r="L20" s="97"/>
      <c r="M20" s="97"/>
    </row>
    <row r="21" spans="1:13" ht="37.5" customHeight="1" x14ac:dyDescent="0.15">
      <c r="A21" s="93">
        <v>4500000</v>
      </c>
      <c r="B21" s="94">
        <v>3160000</v>
      </c>
      <c r="C21" s="94">
        <f t="shared" si="8"/>
        <v>2730000</v>
      </c>
      <c r="D21" s="94">
        <f t="shared" si="0"/>
        <v>191100.00000000003</v>
      </c>
      <c r="E21" s="94">
        <f t="shared" si="1"/>
        <v>68250</v>
      </c>
      <c r="F21" s="94">
        <f t="shared" si="2"/>
        <v>57330</v>
      </c>
      <c r="G21" s="94">
        <f t="shared" si="9"/>
        <v>316680</v>
      </c>
      <c r="H21" s="92"/>
      <c r="I21" s="227"/>
      <c r="J21" s="229" t="s">
        <v>60</v>
      </c>
      <c r="K21" s="229"/>
      <c r="L21" s="229"/>
      <c r="M21" s="229"/>
    </row>
    <row r="22" spans="1:13" ht="37.5" customHeight="1" x14ac:dyDescent="0.15">
      <c r="A22" s="90">
        <v>5000000</v>
      </c>
      <c r="B22" s="90">
        <v>3560000</v>
      </c>
      <c r="C22" s="90">
        <f t="shared" si="8"/>
        <v>3130000</v>
      </c>
      <c r="D22" s="90">
        <f t="shared" si="0"/>
        <v>219100.00000000003</v>
      </c>
      <c r="E22" s="90">
        <f t="shared" si="1"/>
        <v>78250</v>
      </c>
      <c r="F22" s="90">
        <f t="shared" si="2"/>
        <v>65730</v>
      </c>
      <c r="G22" s="90">
        <f t="shared" si="9"/>
        <v>363080</v>
      </c>
      <c r="H22" s="92"/>
      <c r="I22" s="228"/>
      <c r="J22" s="88" t="s">
        <v>61</v>
      </c>
      <c r="K22" s="88" t="s">
        <v>62</v>
      </c>
      <c r="L22" s="89" t="s">
        <v>63</v>
      </c>
      <c r="M22" s="88" t="s">
        <v>64</v>
      </c>
    </row>
    <row r="23" spans="1:13" ht="37.5" customHeight="1" x14ac:dyDescent="0.15">
      <c r="A23" s="93">
        <v>5500000</v>
      </c>
      <c r="B23" s="94">
        <v>3960000</v>
      </c>
      <c r="C23" s="94">
        <f t="shared" si="8"/>
        <v>3530000</v>
      </c>
      <c r="D23" s="94">
        <f t="shared" si="0"/>
        <v>247100.00000000003</v>
      </c>
      <c r="E23" s="94">
        <f t="shared" si="1"/>
        <v>88250</v>
      </c>
      <c r="F23" s="94">
        <f t="shared" si="2"/>
        <v>74130</v>
      </c>
      <c r="G23" s="94">
        <f t="shared" si="9"/>
        <v>409480</v>
      </c>
      <c r="H23" s="92"/>
      <c r="I23" s="90" t="s">
        <v>66</v>
      </c>
      <c r="J23" s="90">
        <f>B5</f>
        <v>20100</v>
      </c>
      <c r="K23" s="90">
        <f>C5</f>
        <v>7100</v>
      </c>
      <c r="L23" s="90">
        <f>D5</f>
        <v>5800</v>
      </c>
      <c r="M23" s="90">
        <f t="shared" ref="M23:M26" si="13">SUM(J23:L23)</f>
        <v>33000</v>
      </c>
    </row>
    <row r="24" spans="1:13" ht="37.5" customHeight="1" x14ac:dyDescent="0.15">
      <c r="A24" s="90">
        <v>6000000</v>
      </c>
      <c r="B24" s="90">
        <v>4360000</v>
      </c>
      <c r="C24" s="90">
        <f t="shared" si="8"/>
        <v>3930000</v>
      </c>
      <c r="D24" s="90">
        <f t="shared" si="0"/>
        <v>275100</v>
      </c>
      <c r="E24" s="90">
        <f t="shared" si="1"/>
        <v>98250</v>
      </c>
      <c r="F24" s="90">
        <f t="shared" si="2"/>
        <v>82530</v>
      </c>
      <c r="G24" s="90">
        <f t="shared" si="9"/>
        <v>455880</v>
      </c>
      <c r="H24" s="92"/>
      <c r="I24" s="94" t="s">
        <v>67</v>
      </c>
      <c r="J24" s="94">
        <f>ROUNDDOWN(J23*0.3,-2)</f>
        <v>6000</v>
      </c>
      <c r="K24" s="94">
        <f t="shared" ref="K24:L24" si="14">ROUNDDOWN(K23*0.3,-2)</f>
        <v>2100</v>
      </c>
      <c r="L24" s="94">
        <f t="shared" si="14"/>
        <v>1700</v>
      </c>
      <c r="M24" s="94">
        <f t="shared" si="13"/>
        <v>9800</v>
      </c>
    </row>
    <row r="25" spans="1:13" ht="37.5" customHeight="1" x14ac:dyDescent="0.15">
      <c r="A25" s="93">
        <v>6500000</v>
      </c>
      <c r="B25" s="94">
        <v>4760000</v>
      </c>
      <c r="C25" s="94">
        <f t="shared" si="8"/>
        <v>4330000</v>
      </c>
      <c r="D25" s="94">
        <f t="shared" si="0"/>
        <v>303100</v>
      </c>
      <c r="E25" s="94">
        <f t="shared" si="1"/>
        <v>108250</v>
      </c>
      <c r="F25" s="94">
        <f t="shared" si="2"/>
        <v>90930</v>
      </c>
      <c r="G25" s="94">
        <f t="shared" si="9"/>
        <v>502280</v>
      </c>
      <c r="H25" s="92"/>
      <c r="I25" s="94" t="s">
        <v>68</v>
      </c>
      <c r="J25" s="94">
        <f>ROUNDDOWN(J23*0.5,-2)</f>
        <v>10000</v>
      </c>
      <c r="K25" s="94">
        <f t="shared" ref="K25:L25" si="15">ROUNDDOWN(K23*0.5,-2)</f>
        <v>3500</v>
      </c>
      <c r="L25" s="94">
        <f t="shared" si="15"/>
        <v>2900</v>
      </c>
      <c r="M25" s="94">
        <f t="shared" si="13"/>
        <v>16400</v>
      </c>
    </row>
    <row r="26" spans="1:13" ht="37.5" customHeight="1" x14ac:dyDescent="0.15">
      <c r="A26" s="90">
        <v>7000000</v>
      </c>
      <c r="B26" s="90">
        <v>5200000</v>
      </c>
      <c r="C26" s="90">
        <f t="shared" si="8"/>
        <v>4770000</v>
      </c>
      <c r="D26" s="90">
        <f t="shared" si="0"/>
        <v>333900.00000000006</v>
      </c>
      <c r="E26" s="90">
        <f t="shared" si="1"/>
        <v>119250</v>
      </c>
      <c r="F26" s="90">
        <f t="shared" si="2"/>
        <v>100170</v>
      </c>
      <c r="G26" s="90">
        <f t="shared" si="9"/>
        <v>553320</v>
      </c>
      <c r="H26" s="92"/>
      <c r="I26" s="94" t="s">
        <v>69</v>
      </c>
      <c r="J26" s="94">
        <f>ROUNDDOWN(J23*0.8,-2)</f>
        <v>16000</v>
      </c>
      <c r="K26" s="94">
        <f t="shared" ref="K26:L26" si="16">ROUNDDOWN(K23*0.8,-2)</f>
        <v>5600</v>
      </c>
      <c r="L26" s="94">
        <f t="shared" si="16"/>
        <v>4600</v>
      </c>
      <c r="M26" s="94">
        <f t="shared" si="13"/>
        <v>26200</v>
      </c>
    </row>
    <row r="27" spans="1:13" ht="37.5" customHeight="1" x14ac:dyDescent="0.15">
      <c r="A27" s="93">
        <v>7500000</v>
      </c>
      <c r="B27" s="94">
        <v>5650000</v>
      </c>
      <c r="C27" s="94">
        <f t="shared" si="8"/>
        <v>5220000</v>
      </c>
      <c r="D27" s="94">
        <f t="shared" si="0"/>
        <v>365400.00000000006</v>
      </c>
      <c r="E27" s="94">
        <f t="shared" si="1"/>
        <v>130500</v>
      </c>
      <c r="F27" s="94">
        <f t="shared" si="2"/>
        <v>109620</v>
      </c>
      <c r="G27" s="94">
        <f t="shared" si="9"/>
        <v>605520</v>
      </c>
      <c r="H27" s="92"/>
      <c r="I27" s="72"/>
    </row>
    <row r="28" spans="1:13" ht="37.5" customHeight="1" x14ac:dyDescent="0.15">
      <c r="A28" s="90">
        <v>8000000</v>
      </c>
      <c r="B28" s="90">
        <v>6100000</v>
      </c>
      <c r="C28" s="90">
        <f t="shared" si="8"/>
        <v>5670000</v>
      </c>
      <c r="D28" s="90">
        <f t="shared" si="0"/>
        <v>396900.00000000006</v>
      </c>
      <c r="E28" s="90">
        <f t="shared" si="1"/>
        <v>141750</v>
      </c>
      <c r="F28" s="90">
        <f t="shared" si="2"/>
        <v>119070.00000000001</v>
      </c>
      <c r="G28" s="90">
        <f t="shared" si="9"/>
        <v>657720</v>
      </c>
      <c r="H28" s="92"/>
      <c r="I28" s="72"/>
    </row>
    <row r="29" spans="1:13" ht="37.5" customHeight="1" x14ac:dyDescent="0.15">
      <c r="A29" s="93">
        <v>8500000</v>
      </c>
      <c r="B29" s="94">
        <v>6550000</v>
      </c>
      <c r="C29" s="94">
        <f t="shared" si="8"/>
        <v>6120000</v>
      </c>
      <c r="D29" s="94">
        <f t="shared" si="0"/>
        <v>428400.00000000006</v>
      </c>
      <c r="E29" s="94">
        <f t="shared" si="1"/>
        <v>153000</v>
      </c>
      <c r="F29" s="94">
        <f t="shared" si="2"/>
        <v>128520.00000000001</v>
      </c>
      <c r="G29" s="94">
        <f t="shared" si="9"/>
        <v>709920</v>
      </c>
      <c r="H29" s="92"/>
      <c r="I29" s="72"/>
    </row>
    <row r="30" spans="1:13" ht="37.5" customHeight="1" x14ac:dyDescent="0.15">
      <c r="A30" s="90">
        <v>9000000</v>
      </c>
      <c r="B30" s="90">
        <v>7050000</v>
      </c>
      <c r="C30" s="90">
        <f t="shared" si="8"/>
        <v>6620000</v>
      </c>
      <c r="D30" s="90">
        <f t="shared" si="0"/>
        <v>463400.00000000006</v>
      </c>
      <c r="E30" s="90">
        <f t="shared" si="1"/>
        <v>165500</v>
      </c>
      <c r="F30" s="90">
        <f t="shared" si="2"/>
        <v>139020</v>
      </c>
      <c r="G30" s="90">
        <f t="shared" si="9"/>
        <v>767920</v>
      </c>
      <c r="H30" s="92"/>
      <c r="I30" s="72"/>
    </row>
    <row r="31" spans="1:13" ht="37.5" customHeight="1" x14ac:dyDescent="0.15">
      <c r="A31" s="93">
        <v>9500000</v>
      </c>
      <c r="B31" s="94">
        <v>7550000</v>
      </c>
      <c r="C31" s="94">
        <f t="shared" si="8"/>
        <v>7120000</v>
      </c>
      <c r="D31" s="94">
        <f t="shared" si="0"/>
        <v>498400.00000000006</v>
      </c>
      <c r="E31" s="94">
        <f t="shared" si="1"/>
        <v>178000</v>
      </c>
      <c r="F31" s="94">
        <f t="shared" si="2"/>
        <v>149520</v>
      </c>
      <c r="G31" s="94">
        <f t="shared" si="9"/>
        <v>825920</v>
      </c>
      <c r="H31" s="92"/>
      <c r="I31" s="72"/>
    </row>
    <row r="32" spans="1:13" x14ac:dyDescent="0.15">
      <c r="B32" s="96"/>
      <c r="C32" s="97"/>
      <c r="D32" s="96"/>
      <c r="E32" s="96"/>
      <c r="F32" s="96"/>
      <c r="G32" s="96"/>
      <c r="H32" s="98"/>
      <c r="I32" s="72"/>
    </row>
    <row r="33" spans="1:13" x14ac:dyDescent="0.15">
      <c r="A33" s="72"/>
      <c r="B33" s="72"/>
      <c r="D33" s="72"/>
      <c r="E33" s="72"/>
      <c r="F33" s="96"/>
      <c r="G33" s="96"/>
      <c r="H33" s="98"/>
      <c r="I33" s="72"/>
    </row>
    <row r="34" spans="1:13" x14ac:dyDescent="0.15">
      <c r="A34" s="72"/>
      <c r="B34" s="72"/>
      <c r="D34" s="72"/>
      <c r="E34" s="72"/>
      <c r="F34" s="96"/>
      <c r="G34" s="96"/>
      <c r="H34" s="98"/>
      <c r="I34" s="72"/>
    </row>
    <row r="35" spans="1:13" x14ac:dyDescent="0.15">
      <c r="A35" s="72"/>
      <c r="B35" s="72"/>
      <c r="D35" s="72"/>
      <c r="E35" s="72"/>
      <c r="F35" s="96"/>
      <c r="G35" s="96"/>
      <c r="H35" s="98"/>
      <c r="I35" s="72"/>
    </row>
    <row r="36" spans="1:13" ht="37.5" customHeight="1" x14ac:dyDescent="0.15">
      <c r="A36" s="72"/>
      <c r="B36" s="72"/>
      <c r="D36" s="72"/>
      <c r="E36" s="72"/>
      <c r="F36" s="96"/>
      <c r="G36" s="96"/>
      <c r="H36" s="98"/>
      <c r="I36" s="72"/>
    </row>
    <row r="37" spans="1:13" ht="37.5" customHeight="1" x14ac:dyDescent="0.15">
      <c r="A37" s="72"/>
      <c r="B37" s="72"/>
      <c r="D37" s="72"/>
      <c r="E37" s="72"/>
      <c r="F37" s="96"/>
      <c r="G37" s="96"/>
      <c r="H37" s="98"/>
      <c r="I37" s="72"/>
    </row>
    <row r="38" spans="1:13" ht="37.5" customHeight="1" x14ac:dyDescent="0.15">
      <c r="A38" s="72"/>
      <c r="B38" s="72"/>
      <c r="D38" s="72"/>
      <c r="E38" s="72"/>
      <c r="F38" s="96"/>
      <c r="G38" s="96"/>
      <c r="H38" s="98"/>
      <c r="I38" s="72"/>
    </row>
    <row r="39" spans="1:13" ht="37.5" customHeight="1" x14ac:dyDescent="0.15">
      <c r="A39" s="72"/>
      <c r="B39" s="72"/>
      <c r="D39" s="72"/>
      <c r="E39" s="72"/>
      <c r="F39" s="96"/>
      <c r="G39" s="96"/>
      <c r="H39" s="98"/>
      <c r="I39" s="96"/>
      <c r="J39" s="97"/>
      <c r="K39" s="97"/>
      <c r="L39" s="97"/>
      <c r="M39" s="97"/>
    </row>
    <row r="40" spans="1:13" ht="37.5" customHeight="1" x14ac:dyDescent="0.15">
      <c r="A40" s="72"/>
      <c r="B40" s="72"/>
      <c r="D40" s="72"/>
      <c r="E40" s="72"/>
      <c r="F40" s="96"/>
      <c r="G40" s="96"/>
      <c r="H40" s="98"/>
      <c r="I40" s="96"/>
      <c r="J40" s="97"/>
      <c r="K40" s="97"/>
      <c r="L40" s="97"/>
      <c r="M40" s="97"/>
    </row>
    <row r="41" spans="1:13" ht="37.5" customHeight="1" x14ac:dyDescent="0.15">
      <c r="A41" s="72"/>
      <c r="B41" s="72"/>
      <c r="D41" s="72"/>
      <c r="E41" s="72"/>
      <c r="F41" s="96"/>
      <c r="G41" s="96"/>
      <c r="H41" s="98"/>
      <c r="I41" s="96"/>
      <c r="J41" s="97"/>
      <c r="K41" s="97"/>
      <c r="L41" s="97"/>
      <c r="M41" s="97"/>
    </row>
    <row r="42" spans="1:13" ht="37.5" customHeight="1" x14ac:dyDescent="0.15">
      <c r="A42" s="72"/>
      <c r="B42" s="72"/>
      <c r="D42" s="72"/>
      <c r="E42" s="72"/>
      <c r="F42" s="96"/>
      <c r="G42" s="96"/>
      <c r="H42" s="98"/>
      <c r="I42" s="96"/>
      <c r="J42" s="97"/>
      <c r="K42" s="97"/>
      <c r="L42" s="97"/>
      <c r="M42" s="97"/>
    </row>
    <row r="43" spans="1:13" x14ac:dyDescent="0.15">
      <c r="B43" s="96"/>
      <c r="C43" s="97"/>
      <c r="D43" s="96"/>
      <c r="E43" s="96"/>
      <c r="F43" s="96"/>
      <c r="G43" s="96"/>
      <c r="H43" s="98"/>
    </row>
  </sheetData>
  <mergeCells count="12">
    <mergeCell ref="A10:A11"/>
    <mergeCell ref="B10:B11"/>
    <mergeCell ref="C10:C11"/>
    <mergeCell ref="D10:G10"/>
    <mergeCell ref="I10:I11"/>
    <mergeCell ref="I21:I22"/>
    <mergeCell ref="J21:M21"/>
    <mergeCell ref="Q4:R4"/>
    <mergeCell ref="S4:U4"/>
    <mergeCell ref="Q5:R5"/>
    <mergeCell ref="S5:U5"/>
    <mergeCell ref="J10:M10"/>
  </mergeCells>
  <phoneticPr fontId="1"/>
  <pageMargins left="0.7" right="0.7" top="0.75" bottom="0.75" header="0.3" footer="0.3"/>
  <pageSetup paperSize="9" scale="4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令和6年度</vt:lpstr>
      <vt:lpstr>給与収入</vt:lpstr>
      <vt:lpstr>年金収入</vt:lpstr>
      <vt:lpstr>早読表</vt:lpstr>
      <vt:lpstr>給与収入!Print_Area</vt:lpstr>
      <vt:lpstr>令和6年度!Print_Area</vt:lpstr>
    </vt:vector>
  </TitlesOfParts>
  <Company>韮崎市役所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細川　雅弥</dc:creator>
  <cp:lastModifiedBy>堀内知明</cp:lastModifiedBy>
  <cp:lastPrinted>2023-10-31T01:12:12Z</cp:lastPrinted>
  <dcterms:created xsi:type="dcterms:W3CDTF">2016-04-26T05:13:48Z</dcterms:created>
  <dcterms:modified xsi:type="dcterms:W3CDTF">2024-03-12T06:11:17Z</dcterms:modified>
</cp:coreProperties>
</file>