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Jsfil001\新共有フォルダ\01_各課専用フォルダ\040_市民生活課\02_国保年金担当\★☆★【共通事務】★☆★\01.国保算定表\過年度\"/>
    </mc:Choice>
  </mc:AlternateContent>
  <xr:revisionPtr revIDLastSave="0" documentId="8_{2605E8DE-9F4A-49DE-97FA-8DC154A336EB}" xr6:coauthVersionLast="36" xr6:coauthVersionMax="36" xr10:uidLastSave="{00000000-0000-0000-0000-000000000000}"/>
  <bookViews>
    <workbookView xWindow="0" yWindow="0" windowWidth="20160" windowHeight="6810" xr2:uid="{00000000-000D-0000-FFFF-FFFF00000000}"/>
  </bookViews>
  <sheets>
    <sheet name="令和6年度" sheetId="6" r:id="rId1"/>
    <sheet name="給与収入" sheetId="1" r:id="rId2"/>
    <sheet name="年金収入" sheetId="7" r:id="rId3"/>
    <sheet name="早読表" sheetId="5" r:id="rId4"/>
  </sheets>
  <definedNames>
    <definedName name="_xlnm.Print_Area" localSheetId="1">給与収入!$A$1:$I$25</definedName>
    <definedName name="_xlnm.Print_Area" localSheetId="0">令和6年度!$A$1:$M$53</definedName>
  </definedNames>
  <calcPr calcId="191029"/>
</workbook>
</file>

<file path=xl/calcChain.xml><?xml version="1.0" encoding="utf-8"?>
<calcChain xmlns="http://schemas.openxmlformats.org/spreadsheetml/2006/main">
  <c r="F15" i="1" l="1"/>
  <c r="J12" i="5"/>
  <c r="D33" i="6" l="1"/>
  <c r="D34" i="6" s="1"/>
  <c r="H9" i="6" l="1"/>
  <c r="I9" i="6" s="1"/>
  <c r="H10" i="6"/>
  <c r="I10" i="6" s="1"/>
  <c r="M18" i="6" l="1"/>
  <c r="G18" i="6"/>
  <c r="G23" i="6" l="1"/>
  <c r="J6" i="6" l="1"/>
  <c r="J7" i="6"/>
  <c r="J8" i="6"/>
  <c r="J9" i="6"/>
  <c r="J10" i="6"/>
  <c r="J11" i="6"/>
  <c r="J12" i="6"/>
  <c r="H11" i="6" l="1"/>
  <c r="I11" i="6" s="1"/>
  <c r="C31" i="5"/>
  <c r="C29" i="5"/>
  <c r="C27" i="5"/>
  <c r="C25" i="5"/>
  <c r="C23" i="5"/>
  <c r="C21" i="5"/>
  <c r="C19" i="5"/>
  <c r="C17" i="5"/>
  <c r="C15" i="5"/>
  <c r="C14" i="5"/>
  <c r="C30" i="5"/>
  <c r="C28" i="5"/>
  <c r="C26" i="5"/>
  <c r="C24" i="5"/>
  <c r="C22" i="5"/>
  <c r="C20" i="5"/>
  <c r="C18" i="5"/>
  <c r="C16" i="5"/>
  <c r="M6" i="6"/>
  <c r="M7" i="6"/>
  <c r="M8" i="6"/>
  <c r="M9" i="6"/>
  <c r="M10" i="6"/>
  <c r="M11" i="6"/>
  <c r="M12" i="6"/>
  <c r="H7" i="6" l="1"/>
  <c r="I7" i="6" s="1"/>
  <c r="H8" i="6"/>
  <c r="I8" i="6" s="1"/>
  <c r="H12" i="6"/>
  <c r="I12" i="6" s="1"/>
  <c r="H6" i="6"/>
  <c r="I6" i="6" s="1"/>
  <c r="L23" i="7" l="1"/>
  <c r="I23" i="7"/>
  <c r="F23" i="7"/>
  <c r="L22" i="7"/>
  <c r="I22" i="7"/>
  <c r="F22" i="7"/>
  <c r="L21" i="7"/>
  <c r="I21" i="7"/>
  <c r="F21" i="7"/>
  <c r="F20" i="7"/>
  <c r="L20" i="7"/>
  <c r="I20" i="7"/>
  <c r="L19" i="7"/>
  <c r="I19" i="7"/>
  <c r="F19" i="7"/>
  <c r="L14" i="7"/>
  <c r="L13" i="7"/>
  <c r="L12" i="7"/>
  <c r="L11" i="7"/>
  <c r="L10" i="7"/>
  <c r="I13" i="7"/>
  <c r="F14" i="7"/>
  <c r="F12" i="7"/>
  <c r="F13" i="7"/>
  <c r="I14" i="7"/>
  <c r="I12" i="7"/>
  <c r="I11" i="7"/>
  <c r="I10" i="7"/>
  <c r="F11" i="7"/>
  <c r="F10" i="7"/>
  <c r="F5" i="7" l="1"/>
  <c r="K6" i="6"/>
  <c r="K7" i="6"/>
  <c r="K8" i="6"/>
  <c r="K9" i="6"/>
  <c r="K10" i="6"/>
  <c r="K11" i="6"/>
  <c r="K12" i="6"/>
  <c r="M5" i="6" l="1"/>
  <c r="M19" i="6" s="1"/>
  <c r="F10" i="1"/>
  <c r="F24" i="1" l="1"/>
  <c r="F23" i="1" l="1"/>
  <c r="F22" i="1"/>
  <c r="F21" i="1"/>
  <c r="F20" i="1"/>
  <c r="F19" i="1"/>
  <c r="F18" i="1"/>
  <c r="F17" i="1"/>
  <c r="F16" i="1"/>
  <c r="L23" i="5" l="1"/>
  <c r="K23" i="5"/>
  <c r="J23" i="5"/>
  <c r="J24" i="5" s="1"/>
  <c r="L12" i="5"/>
  <c r="L16" i="5" s="1"/>
  <c r="J16" i="5"/>
  <c r="C35" i="6" l="1"/>
  <c r="C33" i="6"/>
  <c r="E18" i="6"/>
  <c r="L12" i="6"/>
  <c r="L11" i="6"/>
  <c r="L10" i="6"/>
  <c r="L9" i="6"/>
  <c r="L8" i="6"/>
  <c r="L7" i="6"/>
  <c r="L6" i="6"/>
  <c r="L5" i="6"/>
  <c r="C39" i="6" l="1"/>
  <c r="C40" i="6"/>
  <c r="C34" i="6"/>
  <c r="D40" i="6" s="1"/>
  <c r="E40" i="6"/>
  <c r="E39" i="6"/>
  <c r="K26" i="5"/>
  <c r="L26" i="5"/>
  <c r="J26" i="5"/>
  <c r="K25" i="5"/>
  <c r="L25" i="5"/>
  <c r="K24" i="5"/>
  <c r="L24" i="5"/>
  <c r="J25" i="5"/>
  <c r="L15" i="5"/>
  <c r="K15" i="5"/>
  <c r="J15" i="5"/>
  <c r="L14" i="5"/>
  <c r="K14" i="5"/>
  <c r="J14" i="5"/>
  <c r="L13" i="5"/>
  <c r="K13" i="5"/>
  <c r="J13" i="5"/>
  <c r="M23" i="5"/>
  <c r="L18" i="5"/>
  <c r="K12" i="5"/>
  <c r="K16" i="5" s="1"/>
  <c r="J17" i="5"/>
  <c r="E31" i="5"/>
  <c r="E30" i="5"/>
  <c r="F29" i="5"/>
  <c r="E28" i="5"/>
  <c r="E27" i="5"/>
  <c r="E26" i="5"/>
  <c r="F26" i="5"/>
  <c r="F25" i="5"/>
  <c r="E24" i="5"/>
  <c r="E23" i="5"/>
  <c r="F22" i="5"/>
  <c r="F21" i="5"/>
  <c r="E20" i="5"/>
  <c r="E19" i="5"/>
  <c r="D18" i="5"/>
  <c r="F17" i="5"/>
  <c r="E16" i="5"/>
  <c r="D15" i="5"/>
  <c r="F13" i="5"/>
  <c r="E13" i="5"/>
  <c r="D13" i="5"/>
  <c r="F12" i="5"/>
  <c r="E12" i="5"/>
  <c r="D12" i="5"/>
  <c r="E17" i="5" l="1"/>
  <c r="D22" i="5"/>
  <c r="E25" i="5"/>
  <c r="D30" i="5"/>
  <c r="D16" i="5"/>
  <c r="E14" i="5"/>
  <c r="D14" i="5"/>
  <c r="M25" i="5"/>
  <c r="F14" i="5"/>
  <c r="E22" i="5"/>
  <c r="G22" i="5" s="1"/>
  <c r="D24" i="5"/>
  <c r="F28" i="5"/>
  <c r="F24" i="5"/>
  <c r="M14" i="5"/>
  <c r="F20" i="5"/>
  <c r="M12" i="5"/>
  <c r="L17" i="5"/>
  <c r="K18" i="5"/>
  <c r="E18" i="5"/>
  <c r="F16" i="5"/>
  <c r="F18" i="5"/>
  <c r="E21" i="5"/>
  <c r="D26" i="5"/>
  <c r="G26" i="5" s="1"/>
  <c r="D28" i="5"/>
  <c r="F30" i="5"/>
  <c r="M15" i="5"/>
  <c r="K17" i="5"/>
  <c r="J18" i="5"/>
  <c r="D20" i="5"/>
  <c r="E29" i="5"/>
  <c r="M13" i="5"/>
  <c r="G13" i="5"/>
  <c r="G12" i="5"/>
  <c r="D39" i="6"/>
  <c r="M26" i="5"/>
  <c r="M24" i="5"/>
  <c r="E15" i="5"/>
  <c r="F15" i="5"/>
  <c r="D17" i="5"/>
  <c r="G17" i="5" s="1"/>
  <c r="F19" i="5"/>
  <c r="D21" i="5"/>
  <c r="F23" i="5"/>
  <c r="D25" i="5"/>
  <c r="F27" i="5"/>
  <c r="D29" i="5"/>
  <c r="F31" i="5"/>
  <c r="D19" i="5"/>
  <c r="D23" i="5"/>
  <c r="D27" i="5"/>
  <c r="D31" i="5"/>
  <c r="G25" i="5" l="1"/>
  <c r="G18" i="5"/>
  <c r="G28" i="5"/>
  <c r="G16" i="5"/>
  <c r="G21" i="5"/>
  <c r="G30" i="5"/>
  <c r="G14" i="5"/>
  <c r="G24" i="5"/>
  <c r="G20" i="5"/>
  <c r="M17" i="5"/>
  <c r="M16" i="5"/>
  <c r="G29" i="5"/>
  <c r="G23" i="5"/>
  <c r="M18" i="5"/>
  <c r="G31" i="5"/>
  <c r="G27" i="5"/>
  <c r="G15" i="5"/>
  <c r="G19" i="5"/>
  <c r="F14" i="1" l="1"/>
  <c r="H11" i="1"/>
  <c r="F3" i="1" l="1"/>
  <c r="C15" i="6" l="1"/>
  <c r="J5" i="6"/>
  <c r="H5" i="6"/>
  <c r="I5" i="6" s="1"/>
  <c r="C22" i="6" s="1"/>
  <c r="C23" i="6" s="1"/>
  <c r="K5" i="6" l="1"/>
  <c r="C41" i="6" l="1"/>
  <c r="D42" i="6"/>
  <c r="C42" i="6"/>
  <c r="E41" i="6"/>
  <c r="D43" i="6"/>
  <c r="E43" i="6"/>
  <c r="C43" i="6"/>
  <c r="D41" i="6"/>
  <c r="E33" i="6"/>
  <c r="E35" i="6"/>
  <c r="E38" i="6" s="1"/>
  <c r="E34" i="6" l="1"/>
  <c r="D38" i="6" s="1"/>
  <c r="C38" i="6"/>
  <c r="E44" i="6"/>
  <c r="E45" i="6" s="1"/>
  <c r="C44" i="6" l="1"/>
  <c r="C45" i="6" s="1"/>
  <c r="D44" i="6"/>
  <c r="D45" i="6" s="1"/>
  <c r="F49" i="6" l="1"/>
  <c r="F51" i="6"/>
  <c r="F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00000000-0006-0000-0000-000001000000}">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100-000001000000}">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00000000-0006-0000-0200-000001000000}">
      <text>
        <r>
          <rPr>
            <b/>
            <sz val="16"/>
            <color indexed="81"/>
            <rFont val="ＭＳ Ｐゴシック"/>
            <family val="3"/>
            <charset val="128"/>
          </rPr>
          <t>ここに収入金額を入力してください</t>
        </r>
      </text>
    </comment>
    <comment ref="F3" authorId="0" shapeId="0" xr:uid="{00000000-0006-0000-0200-000002000000}">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<sst xmlns="http://schemas.openxmlformats.org/spreadsheetml/2006/main" count="274" uniqueCount="136">
  <si>
    <t>給与等の収入金額</t>
    <rPh sb="0" eb="2">
      <t>キュウヨ</t>
    </rPh>
    <rPh sb="2" eb="3">
      <t>トウ</t>
    </rPh>
    <rPh sb="4" eb="6">
      <t>シュウニュウ</t>
    </rPh>
    <rPh sb="6" eb="8">
      <t>キンガク</t>
    </rPh>
    <phoneticPr fontId="1"/>
  </si>
  <si>
    <t>円</t>
    <rPh sb="0" eb="1">
      <t>エン</t>
    </rPh>
    <phoneticPr fontId="1"/>
  </si>
  <si>
    <t>～</t>
    <phoneticPr fontId="1"/>
  </si>
  <si>
    <t>①</t>
    <phoneticPr fontId="1"/>
  </si>
  <si>
    <t>①　の　金　額</t>
    <rPh sb="4" eb="5">
      <t>キン</t>
    </rPh>
    <rPh sb="6" eb="7">
      <t>ガク</t>
    </rPh>
    <phoneticPr fontId="1"/>
  </si>
  <si>
    <t>給与所得の金額</t>
    <rPh sb="0" eb="2">
      <t>キュウヨ</t>
    </rPh>
    <rPh sb="2" eb="4">
      <t>ショトク</t>
    </rPh>
    <rPh sb="5" eb="7">
      <t>キンガク</t>
    </rPh>
    <phoneticPr fontId="1"/>
  </si>
  <si>
    <t>算出方法</t>
    <rPh sb="0" eb="2">
      <t>サンシュツ</t>
    </rPh>
    <rPh sb="2" eb="4">
      <t>ホウホウ</t>
    </rPh>
    <phoneticPr fontId="1"/>
  </si>
  <si>
    <t>0円</t>
    <rPh sb="1" eb="2">
      <t>エン</t>
    </rPh>
    <phoneticPr fontId="1"/>
  </si>
  <si>
    <t>公的年金等の収入金額</t>
    <rPh sb="0" eb="2">
      <t>コウテキ</t>
    </rPh>
    <rPh sb="2" eb="5">
      <t>ネンキントウ</t>
    </rPh>
    <rPh sb="6" eb="8">
      <t>シュウニュウ</t>
    </rPh>
    <rPh sb="8" eb="10">
      <t>キンガク</t>
    </rPh>
    <phoneticPr fontId="1"/>
  </si>
  <si>
    <t>雑所得の金額</t>
    <rPh sb="0" eb="1">
      <t>ザツ</t>
    </rPh>
    <rPh sb="1" eb="3">
      <t>ショトク</t>
    </rPh>
    <rPh sb="4" eb="6">
      <t>キンガク</t>
    </rPh>
    <phoneticPr fontId="1"/>
  </si>
  <si>
    <t>65歳以上の方の計算</t>
    <rPh sb="2" eb="5">
      <t>サイイジョウ</t>
    </rPh>
    <rPh sb="6" eb="7">
      <t>カタ</t>
    </rPh>
    <rPh sb="8" eb="10">
      <t>ケイサン</t>
    </rPh>
    <phoneticPr fontId="1"/>
  </si>
  <si>
    <t>歳</t>
    <rPh sb="0" eb="1">
      <t>サイ</t>
    </rPh>
    <phoneticPr fontId="1"/>
  </si>
  <si>
    <t>その年の１２月３１日時点の年齢</t>
    <rPh sb="2" eb="3">
      <t>トシ</t>
    </rPh>
    <rPh sb="6" eb="7">
      <t>ガツ</t>
    </rPh>
    <rPh sb="9" eb="10">
      <t>ニチ</t>
    </rPh>
    <rPh sb="10" eb="12">
      <t>ジテン</t>
    </rPh>
    <rPh sb="13" eb="15">
      <t>ネンレイ</t>
    </rPh>
    <phoneticPr fontId="1"/>
  </si>
  <si>
    <t>氏名</t>
    <rPh sb="0" eb="2">
      <t>シメイ</t>
    </rPh>
    <phoneticPr fontId="5"/>
  </si>
  <si>
    <t>年齢</t>
    <rPh sb="0" eb="2">
      <t>ネンレイ</t>
    </rPh>
    <phoneticPr fontId="5"/>
  </si>
  <si>
    <t>基準総所得</t>
    <rPh sb="0" eb="2">
      <t>キジュン</t>
    </rPh>
    <rPh sb="2" eb="5">
      <t>ソウショトク</t>
    </rPh>
    <phoneticPr fontId="5"/>
  </si>
  <si>
    <t>介護該当</t>
    <rPh sb="0" eb="2">
      <t>カイゴ</t>
    </rPh>
    <rPh sb="2" eb="4">
      <t>ガイトウ</t>
    </rPh>
    <phoneticPr fontId="5"/>
  </si>
  <si>
    <t>世帯主が国民健康保険に加入しますか？（１＝はい、2＝いいえ）</t>
    <rPh sb="0" eb="3">
      <t>セタイヌシ</t>
    </rPh>
    <rPh sb="4" eb="10">
      <t>コクホ</t>
    </rPh>
    <rPh sb="11" eb="13">
      <t>カニュウ</t>
    </rPh>
    <phoneticPr fontId="5"/>
  </si>
  <si>
    <t>Q3</t>
    <phoneticPr fontId="5"/>
  </si>
  <si>
    <t>【算定結果】</t>
    <rPh sb="1" eb="3">
      <t>サンテイ</t>
    </rPh>
    <rPh sb="3" eb="5">
      <t>ケッカ</t>
    </rPh>
    <phoneticPr fontId="5"/>
  </si>
  <si>
    <t>被保険者数</t>
    <rPh sb="0" eb="4">
      <t>ヒホケンシャ</t>
    </rPh>
    <rPh sb="4" eb="5">
      <t>スウ</t>
    </rPh>
    <phoneticPr fontId="5"/>
  </si>
  <si>
    <t>課税対象所得</t>
    <rPh sb="0" eb="2">
      <t>カゼイ</t>
    </rPh>
    <rPh sb="2" eb="4">
      <t>タイショウ</t>
    </rPh>
    <rPh sb="4" eb="6">
      <t>ショトク</t>
    </rPh>
    <phoneticPr fontId="5"/>
  </si>
  <si>
    <t>医療分</t>
    <rPh sb="0" eb="2">
      <t>イリョウ</t>
    </rPh>
    <rPh sb="2" eb="3">
      <t>ブン</t>
    </rPh>
    <phoneticPr fontId="5"/>
  </si>
  <si>
    <t>後期分</t>
    <rPh sb="0" eb="2">
      <t>コウキ</t>
    </rPh>
    <rPh sb="2" eb="3">
      <t>ブン</t>
    </rPh>
    <phoneticPr fontId="5"/>
  </si>
  <si>
    <t>介護分</t>
    <rPh sb="0" eb="2">
      <t>カイゴ</t>
    </rPh>
    <rPh sb="2" eb="3">
      <t>ブン</t>
    </rPh>
    <phoneticPr fontId="5"/>
  </si>
  <si>
    <t>軽減判定</t>
    <rPh sb="0" eb="2">
      <t>ケイゲン</t>
    </rPh>
    <rPh sb="2" eb="4">
      <t>ハンテイ</t>
    </rPh>
    <phoneticPr fontId="5"/>
  </si>
  <si>
    <t>税率</t>
    <rPh sb="0" eb="2">
      <t>ゼイリツ</t>
    </rPh>
    <phoneticPr fontId="5"/>
  </si>
  <si>
    <t>区分</t>
    <rPh sb="0" eb="2">
      <t>クブン</t>
    </rPh>
    <phoneticPr fontId="5"/>
  </si>
  <si>
    <t>所得割</t>
    <rPh sb="0" eb="2">
      <t>ショトク</t>
    </rPh>
    <rPh sb="2" eb="3">
      <t>ワリ</t>
    </rPh>
    <phoneticPr fontId="5"/>
  </si>
  <si>
    <t>均等割</t>
    <rPh sb="0" eb="3">
      <t>キントウワ</t>
    </rPh>
    <phoneticPr fontId="5"/>
  </si>
  <si>
    <t>平等割</t>
    <rPh sb="0" eb="2">
      <t>ビョウドウ</t>
    </rPh>
    <rPh sb="2" eb="3">
      <t>ワリ</t>
    </rPh>
    <phoneticPr fontId="5"/>
  </si>
  <si>
    <t>均等割軽減額</t>
    <rPh sb="0" eb="3">
      <t>キントウワ</t>
    </rPh>
    <rPh sb="3" eb="5">
      <t>ケイゲン</t>
    </rPh>
    <rPh sb="5" eb="6">
      <t>ガク</t>
    </rPh>
    <phoneticPr fontId="5"/>
  </si>
  <si>
    <t>課税限度額</t>
    <rPh sb="0" eb="2">
      <t>カゼイ</t>
    </rPh>
    <rPh sb="2" eb="4">
      <t>ゲンド</t>
    </rPh>
    <rPh sb="4" eb="5">
      <t>ガク</t>
    </rPh>
    <phoneticPr fontId="5"/>
  </si>
  <si>
    <t>平等割軽減額</t>
    <rPh sb="0" eb="2">
      <t>ビョウドウ</t>
    </rPh>
    <rPh sb="2" eb="3">
      <t>ワリ</t>
    </rPh>
    <rPh sb="3" eb="5">
      <t>ケイゲン</t>
    </rPh>
    <rPh sb="5" eb="6">
      <t>ガク</t>
    </rPh>
    <phoneticPr fontId="5"/>
  </si>
  <si>
    <t>限度超過額</t>
    <rPh sb="0" eb="2">
      <t>ゲンド</t>
    </rPh>
    <rPh sb="2" eb="5">
      <t>チョウカガク</t>
    </rPh>
    <phoneticPr fontId="5"/>
  </si>
  <si>
    <t>算定額</t>
    <rPh sb="0" eb="2">
      <t>サンテイ</t>
    </rPh>
    <rPh sb="2" eb="3">
      <t>ガク</t>
    </rPh>
    <phoneticPr fontId="5"/>
  </si>
  <si>
    <t>あなたの世帯の１年間の保険税額は</t>
    <rPh sb="14" eb="15">
      <t>ガク</t>
    </rPh>
    <phoneticPr fontId="5"/>
  </si>
  <si>
    <t>円です。</t>
    <rPh sb="0" eb="1">
      <t>エン</t>
    </rPh>
    <phoneticPr fontId="5"/>
  </si>
  <si>
    <t>1期あたりの保険税額は、約</t>
    <rPh sb="1" eb="2">
      <t>キ</t>
    </rPh>
    <phoneticPr fontId="5"/>
  </si>
  <si>
    <t>Q1</t>
    <phoneticPr fontId="5"/>
  </si>
  <si>
    <t>Q2</t>
    <phoneticPr fontId="5"/>
  </si>
  <si>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5"/>
  </si>
  <si>
    <t>所得金額</t>
    <rPh sb="0" eb="2">
      <t>ショトク</t>
    </rPh>
    <rPh sb="2" eb="4">
      <t>キンガク</t>
    </rPh>
    <phoneticPr fontId="5"/>
  </si>
  <si>
    <t>軽減基準所得</t>
    <rPh sb="0" eb="2">
      <t>ケイゲン</t>
    </rPh>
    <rPh sb="2" eb="4">
      <t>キジュン</t>
    </rPh>
    <rPh sb="4" eb="6">
      <t>ショトク</t>
    </rPh>
    <phoneticPr fontId="5"/>
  </si>
  <si>
    <t>軽減割合</t>
    <rPh sb="0" eb="2">
      <t>ケイゲン</t>
    </rPh>
    <rPh sb="2" eb="4">
      <t>ワリアイ</t>
    </rPh>
    <phoneticPr fontId="5"/>
  </si>
  <si>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5"/>
  </si>
  <si>
    <t>７割軽減</t>
    <rPh sb="1" eb="2">
      <t>ワ</t>
    </rPh>
    <rPh sb="2" eb="4">
      <t>ケイゲン</t>
    </rPh>
    <phoneticPr fontId="5"/>
  </si>
  <si>
    <t>５割軽減</t>
    <rPh sb="1" eb="2">
      <t>ワリ</t>
    </rPh>
    <rPh sb="2" eb="4">
      <t>ケイゲン</t>
    </rPh>
    <phoneticPr fontId="5"/>
  </si>
  <si>
    <t>２割軽減</t>
    <rPh sb="1" eb="2">
      <t>ワリ</t>
    </rPh>
    <rPh sb="2" eb="4">
      <t>ケイゲン</t>
    </rPh>
    <phoneticPr fontId="5"/>
  </si>
  <si>
    <t>1ヶ月あたりの保険税額は、約</t>
    <phoneticPr fontId="5"/>
  </si>
  <si>
    <t>保険税額は、7月から翌年2月までの8期で納めていただきますので、</t>
    <phoneticPr fontId="5"/>
  </si>
  <si>
    <t>支援金分</t>
    <rPh sb="0" eb="3">
      <t>シエンキン</t>
    </rPh>
    <rPh sb="3" eb="4">
      <t>ブン</t>
    </rPh>
    <phoneticPr fontId="5"/>
  </si>
  <si>
    <t>所得割</t>
    <rPh sb="0" eb="2">
      <t>ショトク</t>
    </rPh>
    <rPh sb="2" eb="3">
      <t>ワリ</t>
    </rPh>
    <phoneticPr fontId="1"/>
  </si>
  <si>
    <t>均等割</t>
    <rPh sb="0" eb="3">
      <t>キントウワリ</t>
    </rPh>
    <phoneticPr fontId="1"/>
  </si>
  <si>
    <t>平等割</t>
    <rPh sb="0" eb="2">
      <t>ビョウドウ</t>
    </rPh>
    <rPh sb="2" eb="3">
      <t>ワリ</t>
    </rPh>
    <phoneticPr fontId="1"/>
  </si>
  <si>
    <t>給与収入の場合</t>
    <rPh sb="0" eb="2">
      <t>キュウヨ</t>
    </rPh>
    <rPh sb="2" eb="4">
      <t>シュウニュウ</t>
    </rPh>
    <rPh sb="5" eb="7">
      <t>バアイ</t>
    </rPh>
    <phoneticPr fontId="1"/>
  </si>
  <si>
    <t>【①所得割】</t>
    <rPh sb="2" eb="4">
      <t>ショトク</t>
    </rPh>
    <rPh sb="4" eb="5">
      <t>ワリ</t>
    </rPh>
    <phoneticPr fontId="1"/>
  </si>
  <si>
    <t>収入金額</t>
    <rPh sb="0" eb="2">
      <t>シュウニュウ</t>
    </rPh>
    <rPh sb="2" eb="3">
      <t>キン</t>
    </rPh>
    <rPh sb="3" eb="4">
      <t>ガク</t>
    </rPh>
    <phoneticPr fontId="1"/>
  </si>
  <si>
    <t>所得金額</t>
    <rPh sb="0" eb="2">
      <t>ショトク</t>
    </rPh>
    <rPh sb="2" eb="3">
      <t>キン</t>
    </rPh>
    <rPh sb="3" eb="4">
      <t>ガク</t>
    </rPh>
    <phoneticPr fontId="1"/>
  </si>
  <si>
    <t>基準総所得金額</t>
    <rPh sb="0" eb="2">
      <t>キジュン</t>
    </rPh>
    <rPh sb="2" eb="5">
      <t>ソウショトク</t>
    </rPh>
    <rPh sb="5" eb="7">
      <t>キンガク</t>
    </rPh>
    <phoneticPr fontId="1"/>
  </si>
  <si>
    <t>保　険　税　額</t>
    <rPh sb="0" eb="1">
      <t>ホ</t>
    </rPh>
    <rPh sb="2" eb="3">
      <t>ケン</t>
    </rPh>
    <rPh sb="4" eb="5">
      <t>ゼイ</t>
    </rPh>
    <rPh sb="6" eb="7">
      <t>ガク</t>
    </rPh>
    <phoneticPr fontId="1"/>
  </si>
  <si>
    <t>医療分</t>
    <rPh sb="0" eb="2">
      <t>イリョウ</t>
    </rPh>
    <rPh sb="2" eb="3">
      <t>ブン</t>
    </rPh>
    <phoneticPr fontId="1"/>
  </si>
  <si>
    <t>支援金分</t>
    <rPh sb="0" eb="3">
      <t>シエンキン</t>
    </rPh>
    <rPh sb="3" eb="4">
      <t>ブン</t>
    </rPh>
    <phoneticPr fontId="1"/>
  </si>
  <si>
    <r>
      <t xml:space="preserve">介護分
</t>
    </r>
    <r>
      <rPr>
        <sz val="11"/>
        <color theme="1"/>
        <rFont val="メイリオ"/>
        <family val="3"/>
        <charset val="128"/>
      </rPr>
      <t>（40～64歳）</t>
    </r>
    <rPh sb="0" eb="2">
      <t>カイゴ</t>
    </rPh>
    <rPh sb="2" eb="3">
      <t>ブン</t>
    </rPh>
    <rPh sb="10" eb="11">
      <t>サイ</t>
    </rPh>
    <phoneticPr fontId="1"/>
  </si>
  <si>
    <t>合計</t>
    <rPh sb="0" eb="2">
      <t>ゴウケイ</t>
    </rPh>
    <phoneticPr fontId="1"/>
  </si>
  <si>
    <t>被保険者数</t>
    <rPh sb="0" eb="4">
      <t>ヒホケンシャ</t>
    </rPh>
    <rPh sb="4" eb="5">
      <t>スウ</t>
    </rPh>
    <phoneticPr fontId="1"/>
  </si>
  <si>
    <t>1世帯あたり</t>
    <rPh sb="1" eb="3">
      <t>セタイ</t>
    </rPh>
    <phoneticPr fontId="1"/>
  </si>
  <si>
    <t>７割軽減</t>
    <rPh sb="1" eb="2">
      <t>ワ</t>
    </rPh>
    <rPh sb="2" eb="4">
      <t>ケイゲン</t>
    </rPh>
    <phoneticPr fontId="1"/>
  </si>
  <si>
    <t>５割軽減</t>
    <rPh sb="1" eb="2">
      <t>ワリ</t>
    </rPh>
    <rPh sb="2" eb="4">
      <t>ケイゲン</t>
    </rPh>
    <phoneticPr fontId="1"/>
  </si>
  <si>
    <t>２割軽減</t>
    <rPh sb="1" eb="2">
      <t>ワリ</t>
    </rPh>
    <rPh sb="2" eb="4">
      <t>ケイゲン</t>
    </rPh>
    <phoneticPr fontId="1"/>
  </si>
  <si>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5"/>
  </si>
  <si>
    <t>【②均等割】</t>
    <rPh sb="2" eb="5">
      <t>キントウワ</t>
    </rPh>
    <phoneticPr fontId="1"/>
  </si>
  <si>
    <t>【③平等割】</t>
    <rPh sb="2" eb="4">
      <t>ビョウドウ</t>
    </rPh>
    <rPh sb="4" eb="5">
      <t>ワリ</t>
    </rPh>
    <phoneticPr fontId="1"/>
  </si>
  <si>
    <t>①－550,000円</t>
    <rPh sb="9" eb="10">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</si>
  <si>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</si>
  <si>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</si>
  <si>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</si>
  <si>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</si>
  <si>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①÷4（千円未満の端数切捨て）×2.4＋100,000円</t>
    <rPh sb="4" eb="6">
      <t>センエン</t>
    </rPh>
    <rPh sb="6" eb="8">
      <t>ミマン</t>
    </rPh>
    <rPh sb="9" eb="11">
      <t>ハスウ</t>
    </rPh>
    <rPh sb="11" eb="13">
      <t>キリス</t>
    </rPh>
    <rPh sb="27" eb="28">
      <t>エン</t>
    </rPh>
    <phoneticPr fontId="1"/>
  </si>
  <si>
    <t>①÷4（千円未満の端数切捨て）×2.8－80,000円</t>
    <rPh sb="4" eb="6">
      <t>センエン</t>
    </rPh>
    <rPh sb="6" eb="8">
      <t>ミマン</t>
    </rPh>
    <rPh sb="9" eb="11">
      <t>ハスウ</t>
    </rPh>
    <rPh sb="11" eb="13">
      <t>キリス</t>
    </rPh>
    <rPh sb="26" eb="27">
      <t>エン</t>
    </rPh>
    <phoneticPr fontId="1"/>
  </si>
  <si>
    <t>①÷4（千円未満の端数切捨て）×3.2－440,000円</t>
    <rPh sb="4" eb="6">
      <t>センエン</t>
    </rPh>
    <rPh sb="6" eb="8">
      <t>ミマン</t>
    </rPh>
    <rPh sb="9" eb="11">
      <t>ハスウ</t>
    </rPh>
    <rPh sb="11" eb="13">
      <t>キリス</t>
    </rPh>
    <rPh sb="27" eb="28">
      <t>エン</t>
    </rPh>
    <phoneticPr fontId="1"/>
  </si>
  <si>
    <t>①×0.9－1,100,000円</t>
    <rPh sb="15" eb="16">
      <t>エン</t>
    </rPh>
    <phoneticPr fontId="1"/>
  </si>
  <si>
    <t>①－1,950,000円</t>
    <rPh sb="11" eb="12">
      <t>エン</t>
    </rPh>
    <phoneticPr fontId="1"/>
  </si>
  <si>
    <t>所得金額調整控除</t>
    <rPh sb="0" eb="2">
      <t>ショトク</t>
    </rPh>
    <rPh sb="2" eb="4">
      <t>キンガク</t>
    </rPh>
    <rPh sb="4" eb="6">
      <t>チョウセイ</t>
    </rPh>
    <rPh sb="6" eb="8">
      <t>コウジョ</t>
    </rPh>
    <phoneticPr fontId="1"/>
  </si>
  <si>
    <t>22歳以下の扶養親族を有する</t>
    <rPh sb="2" eb="3">
      <t>サイ</t>
    </rPh>
    <rPh sb="3" eb="5">
      <t>イカ</t>
    </rPh>
    <rPh sb="6" eb="8">
      <t>フヨウ</t>
    </rPh>
    <rPh sb="8" eb="10">
      <t>シンゾク</t>
    </rPh>
    <rPh sb="11" eb="12">
      <t>ユウ</t>
    </rPh>
    <phoneticPr fontId="1"/>
  </si>
  <si>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1"/>
  </si>
  <si>
    <t>特別障害者である扶養親族を有する</t>
    <rPh sb="0" eb="2">
      <t>トクベツ</t>
    </rPh>
    <rPh sb="2" eb="5">
      <t>ショウガイシャ</t>
    </rPh>
    <rPh sb="8" eb="10">
      <t>フヨウ</t>
    </rPh>
    <rPh sb="10" eb="12">
      <t>シンゾク</t>
    </rPh>
    <rPh sb="13" eb="14">
      <t>ユウ</t>
    </rPh>
    <phoneticPr fontId="1"/>
  </si>
  <si>
    <t>（給与等の収入金額－850万円）×0.1</t>
    <rPh sb="1" eb="3">
      <t>キュウヨ</t>
    </rPh>
    <rPh sb="3" eb="4">
      <t>トウ</t>
    </rPh>
    <rPh sb="5" eb="7">
      <t>シュウニュウ</t>
    </rPh>
    <rPh sb="7" eb="9">
      <t>キンガク</t>
    </rPh>
    <rPh sb="13" eb="15">
      <t>マンエン</t>
    </rPh>
    <phoneticPr fontId="1"/>
  </si>
  <si>
    <t>所得額</t>
    <rPh sb="0" eb="2">
      <t>ショトク</t>
    </rPh>
    <rPh sb="2" eb="3">
      <t>ガク</t>
    </rPh>
    <phoneticPr fontId="1"/>
  </si>
  <si>
    <t>①－600,000円</t>
    <rPh sb="9" eb="10">
      <t>エン</t>
    </rPh>
    <phoneticPr fontId="1"/>
  </si>
  <si>
    <t>①×0.75－275,000円</t>
    <rPh sb="14" eb="15">
      <t>エン</t>
    </rPh>
    <phoneticPr fontId="1"/>
  </si>
  <si>
    <t>①×0.85－685,000円</t>
    <rPh sb="14" eb="15">
      <t>エン</t>
    </rPh>
    <phoneticPr fontId="1"/>
  </si>
  <si>
    <t>①×0.95－1,455,000円</t>
    <rPh sb="16" eb="17">
      <t>エン</t>
    </rPh>
    <phoneticPr fontId="1"/>
  </si>
  <si>
    <t>①－1,955,000円</t>
    <rPh sb="11" eb="12">
      <t>エン</t>
    </rPh>
    <phoneticPr fontId="1"/>
  </si>
  <si>
    <t>円</t>
    <rPh sb="0" eb="1">
      <t>エン</t>
    </rPh>
    <phoneticPr fontId="1"/>
  </si>
  <si>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1"/>
  </si>
  <si>
    <t>自分が特別障害者に該当する</t>
    <rPh sb="0" eb="2">
      <t>ジブン</t>
    </rPh>
    <rPh sb="3" eb="5">
      <t>トクベツ</t>
    </rPh>
    <rPh sb="5" eb="8">
      <t>ショウガイシャ</t>
    </rPh>
    <rPh sb="9" eb="11">
      <t>ガイトウ</t>
    </rPh>
    <phoneticPr fontId="1"/>
  </si>
  <si>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1"/>
  </si>
  <si>
    <t>65歳未満の方の計算</t>
    <rPh sb="2" eb="5">
      <t>サイミマン</t>
    </rPh>
    <rPh sb="6" eb="7">
      <t>カタ</t>
    </rPh>
    <rPh sb="8" eb="10">
      <t>ケイサン</t>
    </rPh>
    <phoneticPr fontId="1"/>
  </si>
  <si>
    <t>①－500,000円</t>
    <rPh sb="9" eb="10">
      <t>エン</t>
    </rPh>
    <phoneticPr fontId="1"/>
  </si>
  <si>
    <t>①×0.75－175,000円</t>
    <rPh sb="14" eb="15">
      <t>エン</t>
    </rPh>
    <phoneticPr fontId="1"/>
  </si>
  <si>
    <t>①×0.85－585,000円</t>
    <rPh sb="14" eb="15">
      <t>エン</t>
    </rPh>
    <phoneticPr fontId="1"/>
  </si>
  <si>
    <t>①×0.95－1,355,000円</t>
    <rPh sb="16" eb="17">
      <t>エン</t>
    </rPh>
    <phoneticPr fontId="1"/>
  </si>
  <si>
    <t>①－1,855,000円</t>
    <rPh sb="11" eb="12">
      <t>エン</t>
    </rPh>
    <phoneticPr fontId="1"/>
  </si>
  <si>
    <t>①－1,000,000円</t>
    <rPh sb="11" eb="12">
      <t>エン</t>
    </rPh>
    <phoneticPr fontId="1"/>
  </si>
  <si>
    <t>①－400,000円</t>
    <rPh sb="9" eb="10">
      <t>エン</t>
    </rPh>
    <phoneticPr fontId="1"/>
  </si>
  <si>
    <t>①×0.75－75,000円</t>
    <rPh sb="13" eb="14">
      <t>エン</t>
    </rPh>
    <phoneticPr fontId="1"/>
  </si>
  <si>
    <t>①×0.85－485,000円</t>
    <rPh sb="14" eb="15">
      <t>エン</t>
    </rPh>
    <phoneticPr fontId="1"/>
  </si>
  <si>
    <t>①×0.95－1,255,000円</t>
    <rPh sb="16" eb="17">
      <t>エン</t>
    </rPh>
    <phoneticPr fontId="1"/>
  </si>
  <si>
    <t>①－1,755,000円</t>
    <rPh sb="11" eb="12">
      <t>エン</t>
    </rPh>
    <phoneticPr fontId="1"/>
  </si>
  <si>
    <t>①－900,000円</t>
    <rPh sb="9" eb="10">
      <t>エン</t>
    </rPh>
    <phoneticPr fontId="1"/>
  </si>
  <si>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1"/>
  </si>
  <si>
    <t>1,000万～2,000万円の場合</t>
    <rPh sb="5" eb="6">
      <t>マン</t>
    </rPh>
    <rPh sb="12" eb="13">
      <t>マン</t>
    </rPh>
    <rPh sb="13" eb="14">
      <t>エン</t>
    </rPh>
    <rPh sb="15" eb="17">
      <t>バアイ</t>
    </rPh>
    <phoneticPr fontId="1"/>
  </si>
  <si>
    <t>2,001万円～</t>
    <rPh sb="5" eb="6">
      <t>マン</t>
    </rPh>
    <rPh sb="6" eb="7">
      <t>エン</t>
    </rPh>
    <phoneticPr fontId="1"/>
  </si>
  <si>
    <t>①－1,100,000円</t>
    <rPh sb="3" eb="12">
      <t>１０００００エン</t>
    </rPh>
    <phoneticPr fontId="1"/>
  </si>
  <si>
    <t>円</t>
    <phoneticPr fontId="1"/>
  </si>
  <si>
    <t>給与所得</t>
    <rPh sb="0" eb="2">
      <t>キュウヨ</t>
    </rPh>
    <rPh sb="2" eb="4">
      <t>ショトク</t>
    </rPh>
    <phoneticPr fontId="5"/>
  </si>
  <si>
    <t>年金所得</t>
    <rPh sb="0" eb="2">
      <t>ネンキン</t>
    </rPh>
    <rPh sb="2" eb="4">
      <t>ショトク</t>
    </rPh>
    <phoneticPr fontId="5"/>
  </si>
  <si>
    <t>その他所得金額</t>
    <rPh sb="2" eb="3">
      <t>タ</t>
    </rPh>
    <rPh sb="3" eb="5">
      <t>ショトク</t>
    </rPh>
    <rPh sb="5" eb="6">
      <t>キン</t>
    </rPh>
    <rPh sb="6" eb="7">
      <t>ガク</t>
    </rPh>
    <phoneticPr fontId="1"/>
  </si>
  <si>
    <t>合計所得金額</t>
    <rPh sb="0" eb="2">
      <t>ゴウケイ</t>
    </rPh>
    <rPh sb="2" eb="4">
      <t>ショトク</t>
    </rPh>
    <rPh sb="4" eb="6">
      <t>キンガク</t>
    </rPh>
    <phoneticPr fontId="1"/>
  </si>
  <si>
    <t>人数</t>
    <rPh sb="0" eb="2">
      <t>ニンズウ</t>
    </rPh>
    <phoneticPr fontId="5"/>
  </si>
  <si>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5"/>
  </si>
  <si>
    <t>円</t>
    <rPh sb="0" eb="1">
      <t>エン</t>
    </rPh>
    <phoneticPr fontId="1"/>
  </si>
  <si>
    <t>その他の合計所得金額</t>
    <rPh sb="2" eb="3">
      <t>タ</t>
    </rPh>
    <rPh sb="4" eb="6">
      <t>ゴウケイ</t>
    </rPh>
    <rPh sb="6" eb="8">
      <t>ショトク</t>
    </rPh>
    <rPh sb="8" eb="10">
      <t>キンガク</t>
    </rPh>
    <phoneticPr fontId="1"/>
  </si>
  <si>
    <t>調整控除</t>
    <rPh sb="0" eb="2">
      <t>チョウセイ</t>
    </rPh>
    <rPh sb="2" eb="4">
      <t>コウジョ</t>
    </rPh>
    <phoneticPr fontId="1"/>
  </si>
  <si>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5"/>
  </si>
  <si>
    <t>円</t>
    <rPh sb="0" eb="1">
      <t>エン</t>
    </rPh>
    <phoneticPr fontId="1"/>
  </si>
  <si>
    <t>雑所得金額</t>
    <rPh sb="0" eb="3">
      <t>ザツショトク</t>
    </rPh>
    <rPh sb="3" eb="5">
      <t>キンガク</t>
    </rPh>
    <phoneticPr fontId="1"/>
  </si>
  <si>
    <t>なし</t>
    <phoneticPr fontId="1"/>
  </si>
  <si>
    <t>年金控除額</t>
    <rPh sb="0" eb="2">
      <t>ネンキン</t>
    </rPh>
    <rPh sb="2" eb="4">
      <t>コウジョ</t>
    </rPh>
    <rPh sb="4" eb="5">
      <t>ガク</t>
    </rPh>
    <phoneticPr fontId="1"/>
  </si>
  <si>
    <t>非該当</t>
    <phoneticPr fontId="1"/>
  </si>
  <si>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5"/>
  </si>
  <si>
    <t>こども均等割軽減</t>
    <rPh sb="3" eb="6">
      <t>キントウワ</t>
    </rPh>
    <rPh sb="6" eb="8">
      <t>ケイゲン</t>
    </rPh>
    <phoneticPr fontId="1"/>
  </si>
  <si>
    <t>うち未就学児</t>
    <rPh sb="2" eb="6">
      <t>ミシュウガクジ</t>
    </rPh>
    <phoneticPr fontId="1"/>
  </si>
  <si>
    <t>あくまで試算ですので、加入後の決定通知書で金額をご確認ください。</t>
    <rPh sb="4" eb="6">
      <t>シサン</t>
    </rPh>
    <rPh sb="11" eb="14">
      <t>カニュウゴ</t>
    </rPh>
    <rPh sb="15" eb="17">
      <t>ケッテイ</t>
    </rPh>
    <rPh sb="17" eb="20">
      <t>ツウチショ</t>
    </rPh>
    <rPh sb="21" eb="23">
      <t>キンガク</t>
    </rPh>
    <rPh sb="25" eb="27">
      <t>カクニン</t>
    </rPh>
    <phoneticPr fontId="1"/>
  </si>
  <si>
    <t>令和6年度韮崎市国民健康税試算表</t>
    <rPh sb="0" eb="2">
      <t>レイワ</t>
    </rPh>
    <rPh sb="3" eb="4">
      <t>ド</t>
    </rPh>
    <rPh sb="4" eb="7">
      <t>ニラサキシ</t>
    </rPh>
    <rPh sb="7" eb="9">
      <t>コクミン</t>
    </rPh>
    <rPh sb="9" eb="11">
      <t>ケンコウ</t>
    </rPh>
    <rPh sb="11" eb="12">
      <t>ゼイ</t>
    </rPh>
    <rPh sb="12" eb="15">
      <t>シサンヒョウ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</si>
</sst>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quot;%&quot;"/>
    <numFmt numFmtId="178" formatCode="#,##0\ &quot;円&quot;"/>
    <numFmt numFmtId="179" formatCode="#,##0_);[Red]\(#,##0\)"/>
    <numFmt numFmtId="180" formatCode="0.0%"/>
    <numFmt numFmtId="181" formatCode="#,##0_ &quot;円＋10万円×（給与所得者等の数ー1）以下&quot;"/>
    <numFmt numFmtId="182" formatCode="&quot;430,000円+（&quot;#,##0_ &quot;円×被保険者数と特定同一世帯所属者数の合計）＋10万円×（給与所得者等の数ー1）以下&quot;"/>
    <numFmt numFmtId="183" formatCode="&quot;¥&quot;#,##0_);[Red]\(&quot;¥&quot;#,##0\)"/>
  </numFmts>
  <fonts count="31"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b/>
      <sz val="16"/>
      <color indexed="81"/>
      <name val="ＭＳ Ｐゴシック"/>
      <family val="3"/>
      <charset val="128"/>
    </font>
    <font>
      <sz val="11"/>
      <color theme="1"/>
      <name val="ＭＳ Ｐゴシック"/>
      <family val="3"/>
      <charset val="128"/>
      <scheme val="minor"/>
    </font>
    <font>
      <sz val="6"/>
      <name val="ＭＳ Ｐゴシック"/>
      <family val="3"/>
      <charset val="128"/>
    </font>
    <font>
      <sz val="11"/>
      <color theme="1"/>
      <name val="メイリオ"/>
      <family val="3"/>
      <charset val="128"/>
    </font>
    <font>
      <sz val="18"/>
      <color theme="1"/>
      <name val="メイリオ"/>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2"/>
      <charset val="128"/>
      <scheme val="minor"/>
    </font>
    <font>
      <sz val="14"/>
      <color theme="1"/>
      <name val="メイリオ"/>
      <family val="3"/>
      <charset val="128"/>
    </font>
    <font>
      <b/>
      <sz val="16"/>
      <color theme="1"/>
      <name val="メイリオ"/>
      <family val="3"/>
      <charset val="128"/>
    </font>
    <font>
      <sz val="16"/>
      <color theme="1"/>
      <name val="メイリオ"/>
      <family val="3"/>
      <charset val="128"/>
    </font>
    <font>
      <b/>
      <sz val="18"/>
      <color theme="1"/>
      <name val="メイリオ"/>
      <family val="3"/>
      <charset val="128"/>
    </font>
    <font>
      <b/>
      <sz val="20"/>
      <color theme="1"/>
      <name val="メイリオ"/>
      <family val="3"/>
      <charset val="128"/>
    </font>
    <font>
      <sz val="12"/>
      <color theme="0"/>
      <name val="メイリオ"/>
      <family val="3"/>
      <charset val="128"/>
    </font>
    <font>
      <sz val="12"/>
      <name val="メイリオ"/>
      <family val="3"/>
      <charset val="128"/>
    </font>
    <font>
      <b/>
      <sz val="12"/>
      <color theme="0"/>
      <name val="メイリオ"/>
      <family val="3"/>
      <charset val="128"/>
    </font>
    <font>
      <sz val="22"/>
      <color rgb="FF000000"/>
      <name val="メイリオ"/>
      <family val="3"/>
      <charset val="128"/>
    </font>
    <font>
      <sz val="10"/>
      <color theme="1"/>
      <name val="メイリオ"/>
      <family val="3"/>
      <charset val="128"/>
    </font>
    <font>
      <sz val="9"/>
      <color indexed="81"/>
      <name val="メイリオ"/>
      <family val="3"/>
      <charset val="128"/>
    </font>
    <font>
      <b/>
      <u/>
      <sz val="9"/>
      <color indexed="81"/>
      <name val="メイリオ"/>
      <family val="3"/>
      <charset val="128"/>
    </font>
    <font>
      <b/>
      <u/>
      <sz val="16"/>
      <color theme="1"/>
      <name val="メイリオ"/>
      <family val="3"/>
      <charset val="128"/>
    </font>
  </fonts>
  <fills count="12">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E3FFC9"/>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233">
    <xf numFmtId="0" fontId="0" fillId="0" borderId="0" xfId="0">
      <alignment vertical="center"/>
    </xf>
    <xf numFmtId="176" fontId="2" fillId="3" borderId="1" xfId="0" applyNumberFormat="1" applyFont="1" applyFill="1" applyBorder="1" applyProtection="1">
      <alignment vertical="center"/>
      <protection locked="0"/>
    </xf>
    <xf numFmtId="176" fontId="2" fillId="5" borderId="8" xfId="0" applyNumberFormat="1" applyFont="1" applyFill="1" applyBorder="1" applyProtection="1">
      <alignment vertical="center"/>
    </xf>
    <xf numFmtId="176" fontId="2" fillId="5" borderId="7" xfId="0" applyNumberFormat="1" applyFont="1" applyFill="1" applyBorder="1" applyProtection="1">
      <alignment vertical="center"/>
    </xf>
    <xf numFmtId="176" fontId="2" fillId="5" borderId="12" xfId="0" applyNumberFormat="1" applyFont="1" applyFill="1" applyBorder="1" applyProtection="1">
      <alignment vertical="center"/>
    </xf>
    <xf numFmtId="0" fontId="2" fillId="5" borderId="0" xfId="0" applyFont="1" applyFill="1" applyProtection="1">
      <alignment vertical="center"/>
    </xf>
    <xf numFmtId="0" fontId="2" fillId="5" borderId="2" xfId="0" applyFont="1" applyFill="1" applyBorder="1" applyProtection="1">
      <alignment vertical="center"/>
    </xf>
    <xf numFmtId="0" fontId="2" fillId="5" borderId="0" xfId="0" applyFont="1" applyFill="1" applyBorder="1" applyAlignment="1" applyProtection="1">
      <alignment horizontal="center" vertical="center"/>
    </xf>
    <xf numFmtId="176" fontId="2" fillId="5" borderId="0" xfId="0" applyNumberFormat="1" applyFont="1" applyFill="1" applyBorder="1" applyProtection="1">
      <alignment vertical="center"/>
    </xf>
    <xf numFmtId="0" fontId="2" fillId="5" borderId="4" xfId="0" applyFont="1" applyFill="1" applyBorder="1" applyProtection="1">
      <alignment vertical="center"/>
    </xf>
    <xf numFmtId="0" fontId="2" fillId="5" borderId="15" xfId="0" applyFont="1" applyFill="1" applyBorder="1" applyAlignment="1" applyProtection="1">
      <alignment horizontal="right" vertical="center"/>
    </xf>
    <xf numFmtId="0" fontId="2" fillId="5" borderId="4" xfId="0" applyFont="1" applyFill="1" applyBorder="1" applyAlignment="1" applyProtection="1">
      <alignment horizontal="center" vertical="center"/>
    </xf>
    <xf numFmtId="176" fontId="2" fillId="5" borderId="4" xfId="0" applyNumberFormat="1" applyFont="1" applyFill="1" applyBorder="1" applyProtection="1">
      <alignment vertical="center"/>
    </xf>
    <xf numFmtId="0" fontId="2" fillId="5" borderId="0" xfId="0" applyFont="1" applyFill="1" applyBorder="1" applyProtection="1">
      <alignment vertical="center"/>
    </xf>
    <xf numFmtId="0" fontId="2" fillId="5" borderId="13" xfId="0" applyFont="1" applyFill="1" applyBorder="1" applyProtection="1">
      <alignment vertical="center"/>
    </xf>
    <xf numFmtId="0" fontId="2" fillId="5" borderId="13" xfId="0" applyFont="1" applyFill="1" applyBorder="1" applyAlignment="1" applyProtection="1">
      <alignment horizontal="center" vertical="center"/>
    </xf>
    <xf numFmtId="0" fontId="2" fillId="5" borderId="11" xfId="0" applyFont="1" applyFill="1" applyBorder="1" applyProtection="1">
      <alignment vertical="center"/>
    </xf>
    <xf numFmtId="0" fontId="2" fillId="5" borderId="11" xfId="0" applyFont="1" applyFill="1" applyBorder="1" applyAlignment="1" applyProtection="1">
      <alignment horizontal="right" vertical="center"/>
    </xf>
    <xf numFmtId="0" fontId="2" fillId="2" borderId="14" xfId="0" applyFont="1" applyFill="1" applyBorder="1" applyAlignment="1" applyProtection="1">
      <alignment horizontal="center" vertical="center"/>
    </xf>
    <xf numFmtId="0" fontId="2" fillId="6" borderId="0" xfId="0" applyFont="1" applyFill="1" applyProtection="1">
      <alignment vertical="center"/>
    </xf>
    <xf numFmtId="0" fontId="2" fillId="6" borderId="2" xfId="0" applyFont="1" applyFill="1" applyBorder="1" applyProtection="1">
      <alignment vertical="center"/>
    </xf>
    <xf numFmtId="176" fontId="2" fillId="6" borderId="7" xfId="0" applyNumberFormat="1" applyFont="1" applyFill="1" applyBorder="1" applyProtection="1">
      <alignment vertical="center"/>
    </xf>
    <xf numFmtId="0" fontId="2" fillId="6" borderId="0" xfId="0" applyFont="1" applyFill="1" applyBorder="1" applyAlignment="1" applyProtection="1">
      <alignment horizontal="center" vertical="center"/>
    </xf>
    <xf numFmtId="176" fontId="2" fillId="6" borderId="0" xfId="0" applyNumberFormat="1" applyFont="1" applyFill="1" applyBorder="1" applyProtection="1">
      <alignment vertical="center"/>
    </xf>
    <xf numFmtId="176" fontId="2" fillId="6" borderId="8" xfId="0" applyNumberFormat="1" applyFont="1" applyFill="1" applyBorder="1" applyProtection="1">
      <alignment vertical="center"/>
    </xf>
    <xf numFmtId="0" fontId="2" fillId="6" borderId="4" xfId="0" applyFont="1" applyFill="1" applyBorder="1" applyProtection="1">
      <alignment vertical="center"/>
    </xf>
    <xf numFmtId="0" fontId="2" fillId="6" borderId="4" xfId="0" applyFont="1" applyFill="1" applyBorder="1" applyAlignment="1" applyProtection="1">
      <alignment horizontal="center" vertical="center"/>
    </xf>
    <xf numFmtId="176" fontId="2" fillId="6" borderId="4" xfId="0" applyNumberFormat="1" applyFont="1" applyFill="1" applyBorder="1" applyProtection="1">
      <alignment vertical="center"/>
    </xf>
    <xf numFmtId="0" fontId="2" fillId="6" borderId="0" xfId="0" applyFont="1" applyFill="1" applyBorder="1" applyProtection="1">
      <alignment vertical="center"/>
    </xf>
    <xf numFmtId="176" fontId="2" fillId="6" borderId="12" xfId="0" applyNumberFormat="1" applyFont="1" applyFill="1" applyBorder="1" applyProtection="1">
      <alignment vertical="center"/>
    </xf>
    <xf numFmtId="0" fontId="2" fillId="6" borderId="13" xfId="0" applyFont="1" applyFill="1" applyBorder="1" applyProtection="1">
      <alignment vertical="center"/>
    </xf>
    <xf numFmtId="0" fontId="0" fillId="6" borderId="0" xfId="0" applyFill="1" applyProtection="1">
      <alignment vertical="center"/>
    </xf>
    <xf numFmtId="0" fontId="6" fillId="5" borderId="0" xfId="1" applyFont="1" applyFill="1">
      <alignment vertical="center"/>
    </xf>
    <xf numFmtId="0" fontId="8" fillId="5" borderId="0" xfId="1" applyFont="1" applyFill="1" applyAlignment="1">
      <alignment horizontal="right" vertical="center"/>
    </xf>
    <xf numFmtId="0" fontId="8" fillId="5" borderId="0" xfId="1" applyFont="1" applyFill="1">
      <alignment vertical="center"/>
    </xf>
    <xf numFmtId="0" fontId="2" fillId="5" borderId="0" xfId="1" applyFont="1" applyFill="1">
      <alignment vertical="center"/>
    </xf>
    <xf numFmtId="0" fontId="2" fillId="5" borderId="0" xfId="1" applyFont="1" applyFill="1" applyAlignment="1">
      <alignment horizontal="right" vertical="center"/>
    </xf>
    <xf numFmtId="0" fontId="2" fillId="5" borderId="17" xfId="1" applyFont="1" applyFill="1" applyBorder="1">
      <alignment vertical="center"/>
    </xf>
    <xf numFmtId="0" fontId="2" fillId="5" borderId="17" xfId="1" applyFont="1" applyFill="1" applyBorder="1" applyAlignment="1">
      <alignment horizontal="center" vertical="center"/>
    </xf>
    <xf numFmtId="0" fontId="6" fillId="5" borderId="17" xfId="1" applyFont="1" applyFill="1" applyBorder="1">
      <alignment vertical="center"/>
    </xf>
    <xf numFmtId="0" fontId="9" fillId="5" borderId="0" xfId="1" applyFont="1" applyFill="1">
      <alignment vertical="center"/>
    </xf>
    <xf numFmtId="38" fontId="6" fillId="5" borderId="17" xfId="2" applyFont="1" applyFill="1" applyBorder="1">
      <alignment vertical="center"/>
    </xf>
    <xf numFmtId="38" fontId="6" fillId="5" borderId="0" xfId="2" applyFont="1" applyFill="1">
      <alignment vertical="center"/>
    </xf>
    <xf numFmtId="0" fontId="2" fillId="5" borderId="0" xfId="1" applyFont="1" applyFill="1" applyBorder="1">
      <alignment vertical="center"/>
    </xf>
    <xf numFmtId="0" fontId="2" fillId="7" borderId="18" xfId="1" applyFont="1" applyFill="1" applyBorder="1">
      <alignment vertical="center"/>
    </xf>
    <xf numFmtId="0" fontId="13" fillId="7" borderId="19" xfId="1" applyFont="1" applyFill="1" applyBorder="1">
      <alignment vertical="center"/>
    </xf>
    <xf numFmtId="0" fontId="2" fillId="7" borderId="19" xfId="1" applyFont="1" applyFill="1" applyBorder="1">
      <alignment vertical="center"/>
    </xf>
    <xf numFmtId="0" fontId="6" fillId="7" borderId="19" xfId="1" applyFont="1" applyFill="1" applyBorder="1">
      <alignment vertical="center"/>
    </xf>
    <xf numFmtId="0" fontId="6" fillId="7" borderId="20" xfId="1" applyFont="1" applyFill="1" applyBorder="1">
      <alignment vertical="center"/>
    </xf>
    <xf numFmtId="0" fontId="2" fillId="7" borderId="7" xfId="1" applyFont="1" applyFill="1" applyBorder="1">
      <alignment vertical="center"/>
    </xf>
    <xf numFmtId="0" fontId="2" fillId="7" borderId="17" xfId="1" applyFont="1" applyFill="1" applyBorder="1">
      <alignment vertical="center"/>
    </xf>
    <xf numFmtId="38" fontId="2" fillId="7" borderId="17" xfId="1" applyNumberFormat="1" applyFont="1" applyFill="1" applyBorder="1">
      <alignment vertical="center"/>
    </xf>
    <xf numFmtId="0" fontId="2" fillId="7" borderId="0" xfId="1" applyFont="1" applyFill="1" applyBorder="1">
      <alignment vertical="center"/>
    </xf>
    <xf numFmtId="0" fontId="6" fillId="7" borderId="0" xfId="1" applyFont="1" applyFill="1" applyBorder="1">
      <alignment vertical="center"/>
    </xf>
    <xf numFmtId="0" fontId="6" fillId="7" borderId="21" xfId="1" applyFont="1" applyFill="1" applyBorder="1">
      <alignment vertical="center"/>
    </xf>
    <xf numFmtId="0" fontId="14" fillId="7" borderId="17" xfId="1" applyFont="1" applyFill="1" applyBorder="1" applyAlignment="1">
      <alignment horizontal="center" vertical="center"/>
    </xf>
    <xf numFmtId="0" fontId="14" fillId="7" borderId="0" xfId="1" applyFont="1" applyFill="1" applyBorder="1" applyAlignment="1">
      <alignment horizontal="center" vertical="center"/>
    </xf>
    <xf numFmtId="0" fontId="6" fillId="7" borderId="0" xfId="1" applyFont="1" applyFill="1" applyBorder="1" applyAlignment="1">
      <alignment vertical="top"/>
    </xf>
    <xf numFmtId="0" fontId="2" fillId="7" borderId="21" xfId="1" applyFont="1" applyFill="1" applyBorder="1">
      <alignment vertical="center"/>
    </xf>
    <xf numFmtId="0" fontId="6" fillId="5" borderId="0" xfId="1" applyFont="1" applyFill="1" applyBorder="1">
      <alignment vertical="center"/>
    </xf>
    <xf numFmtId="0" fontId="2" fillId="7" borderId="17" xfId="1" applyFont="1" applyFill="1" applyBorder="1" applyAlignment="1">
      <alignment horizontal="center" vertical="center"/>
    </xf>
    <xf numFmtId="0" fontId="15" fillId="7" borderId="7" xfId="1" applyFont="1" applyFill="1" applyBorder="1">
      <alignment vertical="center"/>
    </xf>
    <xf numFmtId="0" fontId="6" fillId="7" borderId="0" xfId="1" applyFont="1" applyFill="1" applyBorder="1" applyAlignment="1"/>
    <xf numFmtId="38" fontId="2" fillId="7" borderId="17" xfId="2" applyFont="1" applyFill="1" applyBorder="1">
      <alignment vertical="center"/>
    </xf>
    <xf numFmtId="0" fontId="2" fillId="7" borderId="17" xfId="1" applyFont="1" applyFill="1" applyBorder="1" applyAlignment="1">
      <alignment horizontal="left" vertical="center"/>
    </xf>
    <xf numFmtId="177" fontId="2" fillId="7" borderId="17" xfId="1" applyNumberFormat="1" applyFont="1" applyFill="1" applyBorder="1">
      <alignment vertical="center"/>
    </xf>
    <xf numFmtId="178" fontId="2" fillId="7" borderId="17" xfId="2" applyNumberFormat="1" applyFont="1" applyFill="1" applyBorder="1">
      <alignment vertical="center"/>
    </xf>
    <xf numFmtId="0" fontId="6" fillId="7" borderId="7" xfId="1" applyFont="1" applyFill="1" applyBorder="1">
      <alignment vertical="center"/>
    </xf>
    <xf numFmtId="0" fontId="6" fillId="7" borderId="9" xfId="1" applyFont="1" applyFill="1" applyBorder="1">
      <alignment vertical="center"/>
    </xf>
    <xf numFmtId="0" fontId="2" fillId="0" borderId="17" xfId="0" applyFont="1" applyFill="1" applyBorder="1" applyAlignment="1">
      <alignment horizontal="right" vertical="center"/>
    </xf>
    <xf numFmtId="0" fontId="2" fillId="0" borderId="17" xfId="1" applyFont="1" applyFill="1" applyBorder="1" applyAlignment="1">
      <alignment horizontal="center" vertical="center"/>
    </xf>
    <xf numFmtId="3" fontId="2" fillId="0" borderId="0" xfId="0" applyNumberFormat="1" applyFont="1">
      <alignment vertical="center"/>
    </xf>
    <xf numFmtId="0" fontId="2" fillId="0" borderId="0" xfId="0" applyFont="1">
      <alignment vertical="center"/>
    </xf>
    <xf numFmtId="0" fontId="2" fillId="0" borderId="17" xfId="0" applyFont="1" applyFill="1" applyBorder="1" applyAlignment="1">
      <alignment horizontal="center" vertical="center"/>
    </xf>
    <xf numFmtId="180" fontId="2" fillId="0" borderId="17" xfId="3" applyNumberFormat="1" applyFont="1" applyFill="1" applyBorder="1">
      <alignment vertical="center"/>
    </xf>
    <xf numFmtId="0" fontId="2" fillId="0" borderId="0" xfId="0" applyFont="1" applyAlignment="1">
      <alignment vertical="center"/>
    </xf>
    <xf numFmtId="0" fontId="2" fillId="0" borderId="0" xfId="0" applyFont="1" applyAlignment="1">
      <alignment horizontal="center" vertical="center"/>
    </xf>
    <xf numFmtId="178" fontId="2" fillId="0" borderId="17" xfId="2" applyNumberFormat="1" applyFont="1" applyFill="1" applyBorder="1">
      <alignment vertical="center"/>
    </xf>
    <xf numFmtId="178" fontId="2" fillId="0" borderId="17" xfId="2" applyNumberFormat="1" applyFont="1" applyFill="1" applyBorder="1" applyAlignment="1">
      <alignment vertical="center"/>
    </xf>
    <xf numFmtId="0" fontId="2" fillId="0" borderId="0" xfId="1" applyFont="1" applyFill="1" applyBorder="1" applyAlignment="1">
      <alignment horizontal="center" vertical="center"/>
    </xf>
    <xf numFmtId="178" fontId="2" fillId="0" borderId="0" xfId="2" applyNumberFormat="1" applyFont="1" applyFill="1" applyBorder="1" applyAlignment="1">
      <alignment vertical="center"/>
    </xf>
    <xf numFmtId="3" fontId="18"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Alignment="1">
      <alignment horizontal="right" vertical="center"/>
    </xf>
    <xf numFmtId="3" fontId="16" fillId="0" borderId="25" xfId="0" applyNumberFormat="1" applyFont="1" applyBorder="1" applyAlignment="1">
      <alignment vertical="center"/>
    </xf>
    <xf numFmtId="3" fontId="2" fillId="0" borderId="25" xfId="0" applyNumberFormat="1" applyFont="1" applyBorder="1" applyAlignment="1">
      <alignment vertical="center"/>
    </xf>
    <xf numFmtId="3" fontId="16" fillId="0" borderId="0" xfId="0" applyNumberFormat="1" applyFont="1">
      <alignment vertical="center"/>
    </xf>
    <xf numFmtId="0" fontId="2" fillId="0" borderId="0" xfId="0" applyFont="1" applyFill="1" applyBorder="1" applyAlignment="1">
      <alignment horizontal="center" vertical="center"/>
    </xf>
    <xf numFmtId="3" fontId="2" fillId="0" borderId="17" xfId="0" applyNumberFormat="1" applyFont="1" applyFill="1" applyBorder="1" applyAlignment="1">
      <alignment horizontal="center" vertical="center"/>
    </xf>
    <xf numFmtId="3" fontId="2" fillId="0" borderId="17" xfId="0" applyNumberFormat="1" applyFont="1" applyFill="1" applyBorder="1" applyAlignment="1">
      <alignment horizontal="center" vertical="center" wrapText="1"/>
    </xf>
    <xf numFmtId="3" fontId="2" fillId="8" borderId="17" xfId="0" applyNumberFormat="1" applyFont="1" applyFill="1" applyBorder="1">
      <alignment vertical="center"/>
    </xf>
    <xf numFmtId="0" fontId="2" fillId="8" borderId="17" xfId="0" applyFont="1" applyFill="1" applyBorder="1">
      <alignment vertical="center"/>
    </xf>
    <xf numFmtId="0" fontId="2" fillId="0" borderId="0" xfId="0" applyFont="1" applyFill="1" applyBorder="1" applyAlignment="1">
      <alignment horizontal="right" vertical="center"/>
    </xf>
    <xf numFmtId="3" fontId="2" fillId="0" borderId="17" xfId="0" applyNumberFormat="1" applyFont="1" applyBorder="1">
      <alignment vertical="center"/>
    </xf>
    <xf numFmtId="3" fontId="2" fillId="0" borderId="17" xfId="0" applyNumberFormat="1" applyFont="1" applyFill="1" applyBorder="1">
      <alignment vertical="center"/>
    </xf>
    <xf numFmtId="0" fontId="2" fillId="0" borderId="17" xfId="0" applyFont="1" applyFill="1" applyBorder="1">
      <alignment vertical="center"/>
    </xf>
    <xf numFmtId="3" fontId="2" fillId="0" borderId="0" xfId="0" applyNumberFormat="1"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3" fontId="16" fillId="0" borderId="0" xfId="0" applyNumberFormat="1" applyFont="1" applyFill="1">
      <alignment vertical="center"/>
    </xf>
    <xf numFmtId="3" fontId="2" fillId="8" borderId="17" xfId="0" applyNumberFormat="1" applyFont="1" applyFill="1" applyBorder="1" applyAlignment="1">
      <alignment vertical="center"/>
    </xf>
    <xf numFmtId="3" fontId="2" fillId="0" borderId="17" xfId="0" applyNumberFormat="1" applyFont="1" applyBorder="1" applyAlignment="1">
      <alignment vertical="center"/>
    </xf>
    <xf numFmtId="178" fontId="2" fillId="7" borderId="0" xfId="2" applyNumberFormat="1" applyFont="1" applyFill="1" applyBorder="1">
      <alignment vertical="center"/>
    </xf>
    <xf numFmtId="0" fontId="6" fillId="0" borderId="0" xfId="1" applyFont="1" applyFill="1" applyBorder="1">
      <alignment vertical="center"/>
    </xf>
    <xf numFmtId="0" fontId="20" fillId="0" borderId="0" xfId="1" applyFont="1" applyFill="1" applyBorder="1" applyAlignment="1">
      <alignment vertical="center"/>
    </xf>
    <xf numFmtId="0" fontId="19" fillId="0" borderId="0" xfId="1" applyFont="1" applyFill="1" applyBorder="1" applyAlignment="1">
      <alignment vertical="center"/>
    </xf>
    <xf numFmtId="0" fontId="20" fillId="0" borderId="0" xfId="1" applyFont="1" applyFill="1" applyBorder="1">
      <alignment vertical="center"/>
    </xf>
    <xf numFmtId="0" fontId="2" fillId="7" borderId="28" xfId="1" applyFont="1" applyFill="1" applyBorder="1">
      <alignment vertical="center"/>
    </xf>
    <xf numFmtId="38" fontId="2" fillId="7" borderId="28" xfId="2" applyFont="1" applyFill="1" applyBorder="1">
      <alignment vertical="center"/>
    </xf>
    <xf numFmtId="0" fontId="2" fillId="7" borderId="10" xfId="1" applyFont="1" applyFill="1" applyBorder="1">
      <alignment vertical="center"/>
    </xf>
    <xf numFmtId="178" fontId="2" fillId="7" borderId="28" xfId="2" applyNumberFormat="1" applyFont="1" applyFill="1" applyBorder="1" applyAlignment="1">
      <alignment vertical="center"/>
    </xf>
    <xf numFmtId="0" fontId="2" fillId="7" borderId="24" xfId="1" applyFont="1" applyFill="1" applyBorder="1">
      <alignment vertical="center"/>
    </xf>
    <xf numFmtId="0" fontId="6" fillId="0" borderId="19" xfId="1" applyFont="1" applyFill="1" applyBorder="1">
      <alignment vertical="center"/>
    </xf>
    <xf numFmtId="0" fontId="2" fillId="0" borderId="19" xfId="1" applyFont="1" applyFill="1" applyBorder="1">
      <alignment vertical="center"/>
    </xf>
    <xf numFmtId="0" fontId="21" fillId="0" borderId="2" xfId="1" applyFont="1" applyFill="1" applyBorder="1">
      <alignment vertical="center"/>
    </xf>
    <xf numFmtId="0" fontId="21" fillId="3" borderId="2" xfId="1" applyFont="1" applyFill="1" applyBorder="1">
      <alignment vertical="center"/>
    </xf>
    <xf numFmtId="0" fontId="21" fillId="0" borderId="3" xfId="1" applyFont="1" applyFill="1" applyBorder="1" applyAlignment="1">
      <alignment horizontal="center" vertical="center"/>
    </xf>
    <xf numFmtId="0" fontId="13" fillId="0" borderId="3" xfId="1" applyFont="1" applyFill="1" applyBorder="1" applyAlignment="1">
      <alignment horizontal="right" vertical="center"/>
    </xf>
    <xf numFmtId="0" fontId="21" fillId="0" borderId="3" xfId="1" applyFont="1" applyFill="1" applyBorder="1">
      <alignment vertical="center"/>
    </xf>
    <xf numFmtId="0" fontId="23" fillId="5" borderId="0" xfId="0" applyFont="1" applyFill="1" applyProtection="1">
      <alignment vertical="center"/>
    </xf>
    <xf numFmtId="38" fontId="2" fillId="5" borderId="12" xfId="4" applyFont="1" applyFill="1" applyBorder="1" applyProtection="1">
      <alignment vertical="center"/>
    </xf>
    <xf numFmtId="0" fontId="24" fillId="5" borderId="0" xfId="0" applyFont="1" applyFill="1" applyProtection="1">
      <alignment vertical="center"/>
    </xf>
    <xf numFmtId="0" fontId="2" fillId="4" borderId="44" xfId="0" applyFont="1" applyFill="1" applyBorder="1" applyAlignment="1" applyProtection="1">
      <alignment horizontal="center" vertical="center"/>
    </xf>
    <xf numFmtId="0" fontId="2" fillId="10" borderId="44" xfId="0" applyFont="1" applyFill="1" applyBorder="1" applyAlignment="1" applyProtection="1">
      <alignment horizontal="center" vertical="center"/>
    </xf>
    <xf numFmtId="176" fontId="2" fillId="6" borderId="41" xfId="0" applyNumberFormat="1" applyFont="1" applyFill="1" applyBorder="1" applyProtection="1">
      <alignment vertical="center"/>
    </xf>
    <xf numFmtId="0" fontId="2" fillId="6" borderId="23" xfId="0" applyFont="1" applyFill="1" applyBorder="1" applyProtection="1">
      <alignment vertical="center"/>
    </xf>
    <xf numFmtId="0" fontId="2" fillId="6" borderId="44" xfId="0" applyFont="1" applyFill="1" applyBorder="1" applyAlignment="1" applyProtection="1">
      <alignment horizontal="right" vertical="center"/>
    </xf>
    <xf numFmtId="176" fontId="2" fillId="6" borderId="21" xfId="0" applyNumberFormat="1" applyFont="1" applyFill="1" applyBorder="1" applyProtection="1">
      <alignment vertical="center"/>
    </xf>
    <xf numFmtId="176" fontId="2" fillId="6" borderId="45" xfId="0" applyNumberFormat="1" applyFont="1" applyFill="1" applyBorder="1" applyProtection="1">
      <alignment vertical="center"/>
    </xf>
    <xf numFmtId="0" fontId="2" fillId="6" borderId="46" xfId="0" applyFont="1" applyFill="1" applyBorder="1" applyProtection="1">
      <alignment vertical="center"/>
    </xf>
    <xf numFmtId="0" fontId="2" fillId="6" borderId="47" xfId="0" applyFont="1" applyFill="1" applyBorder="1" applyAlignment="1" applyProtection="1">
      <alignment horizontal="right" vertical="center"/>
    </xf>
    <xf numFmtId="0" fontId="2" fillId="6" borderId="13" xfId="0" applyFont="1" applyFill="1" applyBorder="1" applyAlignment="1" applyProtection="1">
      <alignment horizontal="center" vertical="center"/>
    </xf>
    <xf numFmtId="176" fontId="2" fillId="6" borderId="13" xfId="0" applyNumberFormat="1" applyFont="1" applyFill="1" applyBorder="1" applyProtection="1">
      <alignment vertical="center"/>
    </xf>
    <xf numFmtId="176" fontId="2" fillId="6" borderId="11" xfId="0" applyNumberFormat="1" applyFont="1" applyFill="1" applyBorder="1" applyProtection="1">
      <alignment vertical="center"/>
    </xf>
    <xf numFmtId="0" fontId="2" fillId="6" borderId="48" xfId="0" applyFont="1" applyFill="1" applyBorder="1" applyProtection="1">
      <alignment vertical="center"/>
    </xf>
    <xf numFmtId="0" fontId="2" fillId="6" borderId="49" xfId="0" applyFont="1" applyFill="1" applyBorder="1" applyAlignment="1" applyProtection="1">
      <alignment horizontal="right" vertical="center"/>
    </xf>
    <xf numFmtId="0" fontId="2" fillId="6" borderId="50" xfId="0" applyFont="1" applyFill="1" applyBorder="1" applyProtection="1">
      <alignment vertical="center"/>
    </xf>
    <xf numFmtId="0" fontId="2" fillId="6" borderId="11" xfId="0" applyFont="1" applyFill="1" applyBorder="1" applyProtection="1">
      <alignment vertical="center"/>
    </xf>
    <xf numFmtId="38" fontId="2" fillId="7" borderId="0" xfId="1" applyNumberFormat="1" applyFont="1" applyFill="1" applyBorder="1">
      <alignment vertical="center"/>
    </xf>
    <xf numFmtId="0" fontId="2" fillId="3" borderId="17" xfId="1" applyFont="1" applyFill="1" applyBorder="1" applyAlignment="1" applyProtection="1">
      <alignment horizontal="center" vertical="center"/>
      <protection locked="0"/>
    </xf>
    <xf numFmtId="0" fontId="2" fillId="3" borderId="17" xfId="1" applyFont="1" applyFill="1" applyBorder="1" applyProtection="1">
      <alignment vertical="center"/>
      <protection locked="0"/>
    </xf>
    <xf numFmtId="0" fontId="2" fillId="5" borderId="17" xfId="1" applyFont="1" applyFill="1" applyBorder="1" applyAlignment="1">
      <alignment horizontal="center" vertical="center"/>
    </xf>
    <xf numFmtId="38" fontId="6" fillId="5" borderId="17" xfId="2" applyFont="1" applyFill="1" applyBorder="1">
      <alignment vertical="center"/>
    </xf>
    <xf numFmtId="0" fontId="2" fillId="7" borderId="19" xfId="1" applyFont="1" applyFill="1" applyBorder="1">
      <alignment vertical="center"/>
    </xf>
    <xf numFmtId="0" fontId="2" fillId="7" borderId="17" xfId="1" applyFont="1" applyFill="1" applyBorder="1">
      <alignment vertical="center"/>
    </xf>
    <xf numFmtId="0" fontId="2" fillId="7" borderId="0" xfId="1" applyFont="1" applyFill="1" applyBorder="1">
      <alignment vertical="center"/>
    </xf>
    <xf numFmtId="38" fontId="2" fillId="5" borderId="17" xfId="1" applyNumberFormat="1" applyFont="1" applyFill="1" applyBorder="1">
      <alignment vertical="center"/>
    </xf>
    <xf numFmtId="0" fontId="12" fillId="7" borderId="0" xfId="1" applyFont="1" applyFill="1">
      <alignment vertical="center"/>
    </xf>
    <xf numFmtId="0" fontId="6" fillId="5" borderId="17" xfId="1" applyFont="1" applyFill="1" applyBorder="1" applyAlignment="1">
      <alignment horizontal="center" vertical="center"/>
    </xf>
    <xf numFmtId="38" fontId="6" fillId="5" borderId="17" xfId="4" applyFont="1" applyFill="1" applyBorder="1">
      <alignment vertical="center"/>
    </xf>
    <xf numFmtId="179" fontId="2" fillId="3" borderId="17" xfId="1" applyNumberFormat="1" applyFont="1" applyFill="1" applyBorder="1" applyProtection="1">
      <alignment vertical="center"/>
      <protection locked="0"/>
    </xf>
    <xf numFmtId="38" fontId="2" fillId="3" borderId="17" xfId="2" applyNumberFormat="1" applyFont="1" applyFill="1" applyBorder="1" applyProtection="1">
      <alignment vertical="center"/>
      <protection locked="0"/>
    </xf>
    <xf numFmtId="0" fontId="23" fillId="5" borderId="0" xfId="1" applyFont="1" applyFill="1" applyAlignment="1">
      <alignment horizontal="right" vertical="center"/>
    </xf>
    <xf numFmtId="38" fontId="2" fillId="5" borderId="37" xfId="4" applyFont="1" applyFill="1" applyBorder="1" applyAlignment="1" applyProtection="1">
      <alignment horizontal="center" vertical="center"/>
      <protection locked="0"/>
    </xf>
    <xf numFmtId="176" fontId="23" fillId="9" borderId="1" xfId="0" applyNumberFormat="1" applyFont="1" applyFill="1" applyBorder="1" applyProtection="1">
      <alignment vertical="center"/>
    </xf>
    <xf numFmtId="38" fontId="2" fillId="7" borderId="17" xfId="1" applyNumberFormat="1" applyFont="1" applyFill="1" applyBorder="1" applyProtection="1">
      <alignment vertical="center"/>
    </xf>
    <xf numFmtId="176" fontId="2" fillId="11" borderId="1" xfId="0" applyNumberFormat="1" applyFont="1" applyFill="1" applyBorder="1" applyProtection="1">
      <alignment vertical="center"/>
      <protection locked="0"/>
    </xf>
    <xf numFmtId="0" fontId="6" fillId="11" borderId="17" xfId="1" applyFont="1" applyFill="1" applyBorder="1" applyProtection="1">
      <alignment vertical="center"/>
      <protection locked="0"/>
    </xf>
    <xf numFmtId="0" fontId="25" fillId="9" borderId="3" xfId="0" applyNumberFormat="1" applyFont="1" applyFill="1" applyBorder="1" applyProtection="1">
      <alignment vertical="center"/>
    </xf>
    <xf numFmtId="183" fontId="2" fillId="3" borderId="17" xfId="2" applyNumberFormat="1" applyFont="1" applyFill="1" applyBorder="1" applyProtection="1">
      <alignment vertical="center"/>
      <protection locked="0"/>
    </xf>
    <xf numFmtId="0" fontId="2" fillId="11" borderId="17" xfId="1" applyFont="1" applyFill="1" applyBorder="1" applyAlignment="1" applyProtection="1">
      <alignment horizontal="center" vertical="center"/>
      <protection locked="0"/>
    </xf>
    <xf numFmtId="176" fontId="2" fillId="3" borderId="17" xfId="1" applyNumberFormat="1" applyFont="1" applyFill="1" applyBorder="1" applyProtection="1">
      <alignment vertical="center"/>
      <protection locked="0"/>
    </xf>
    <xf numFmtId="0" fontId="2" fillId="7" borderId="17" xfId="1" applyFont="1" applyFill="1" applyBorder="1" applyAlignment="1">
      <alignment horizontal="center" vertical="center"/>
    </xf>
    <xf numFmtId="0" fontId="2" fillId="0" borderId="0" xfId="1" applyFont="1" applyFill="1" applyBorder="1">
      <alignment vertical="center"/>
    </xf>
    <xf numFmtId="176" fontId="6" fillId="5" borderId="17" xfId="1" applyNumberFormat="1" applyFont="1" applyFill="1" applyBorder="1">
      <alignment vertical="center"/>
    </xf>
    <xf numFmtId="179" fontId="6" fillId="5" borderId="17" xfId="1" applyNumberFormat="1" applyFont="1" applyFill="1" applyBorder="1">
      <alignment vertical="center"/>
    </xf>
    <xf numFmtId="0" fontId="27" fillId="7" borderId="17" xfId="1" applyFont="1" applyFill="1" applyBorder="1">
      <alignment vertical="center"/>
    </xf>
    <xf numFmtId="38" fontId="2" fillId="7" borderId="0" xfId="1" applyNumberFormat="1" applyFont="1" applyFill="1" applyBorder="1" applyProtection="1">
      <alignment vertical="center"/>
    </xf>
    <xf numFmtId="0" fontId="30" fillId="5" borderId="0" xfId="1" applyFont="1" applyFill="1">
      <alignment vertical="center"/>
    </xf>
    <xf numFmtId="0" fontId="7" fillId="5"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3" xfId="1" applyFont="1" applyFill="1" applyBorder="1" applyAlignment="1">
      <alignment horizontal="center" vertical="center"/>
    </xf>
    <xf numFmtId="0" fontId="13" fillId="3" borderId="3" xfId="1" applyFont="1" applyFill="1" applyBorder="1" applyAlignment="1">
      <alignment horizontal="right" vertical="center"/>
    </xf>
    <xf numFmtId="0" fontId="13" fillId="0" borderId="3" xfId="1" applyFont="1" applyFill="1" applyBorder="1" applyAlignment="1">
      <alignment horizontal="right" vertical="center"/>
    </xf>
    <xf numFmtId="0" fontId="22" fillId="3" borderId="1" xfId="1" applyFont="1" applyFill="1" applyBorder="1" applyAlignment="1">
      <alignment horizontal="center" vertical="center"/>
    </xf>
    <xf numFmtId="0" fontId="22" fillId="3" borderId="3" xfId="1" applyFont="1" applyFill="1" applyBorder="1" applyAlignment="1">
      <alignment horizontal="center" vertical="center"/>
    </xf>
    <xf numFmtId="181" fontId="2" fillId="7" borderId="17" xfId="1" applyNumberFormat="1" applyFont="1" applyFill="1" applyBorder="1" applyAlignment="1">
      <alignment horizontal="left" vertical="center"/>
    </xf>
    <xf numFmtId="182" fontId="2" fillId="7" borderId="17" xfId="1" applyNumberFormat="1" applyFont="1" applyFill="1" applyBorder="1" applyAlignment="1">
      <alignment horizontal="left" vertical="center"/>
    </xf>
    <xf numFmtId="0" fontId="2" fillId="7" borderId="17" xfId="1" applyFont="1" applyFill="1" applyBorder="1" applyAlignment="1">
      <alignment horizontal="center" vertical="center"/>
    </xf>
    <xf numFmtId="0" fontId="2" fillId="5" borderId="14"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38" fontId="2" fillId="5" borderId="35" xfId="4" applyFont="1" applyFill="1" applyBorder="1" applyAlignment="1" applyProtection="1">
      <alignment horizontal="center" vertical="center"/>
      <protection locked="0"/>
    </xf>
    <xf numFmtId="38" fontId="2" fillId="5" borderId="10" xfId="4"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shrinkToFit="1"/>
    </xf>
    <xf numFmtId="0" fontId="2" fillId="5" borderId="17" xfId="0" applyFont="1" applyFill="1" applyBorder="1" applyAlignment="1" applyProtection="1">
      <alignment horizontal="center" vertical="center" shrinkToFit="1"/>
    </xf>
    <xf numFmtId="0" fontId="2" fillId="5" borderId="32"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0" xfId="0" applyFont="1" applyFill="1" applyBorder="1" applyAlignment="1" applyProtection="1">
      <alignment horizontal="center" vertical="center"/>
      <protection locked="0"/>
    </xf>
    <xf numFmtId="0" fontId="2" fillId="5" borderId="38"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36"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10" borderId="5" xfId="0" applyFont="1" applyFill="1" applyBorder="1" applyAlignment="1" applyProtection="1">
      <alignment horizontal="center" vertical="center"/>
    </xf>
    <xf numFmtId="0" fontId="2" fillId="10" borderId="6" xfId="0" applyFont="1" applyFill="1" applyBorder="1" applyAlignment="1" applyProtection="1">
      <alignment horizontal="center" vertical="center"/>
    </xf>
    <xf numFmtId="0" fontId="2" fillId="10" borderId="40" xfId="0"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10" borderId="31" xfId="0" applyFont="1" applyFill="1" applyBorder="1" applyAlignment="1" applyProtection="1">
      <alignment horizontal="center" vertical="center"/>
    </xf>
    <xf numFmtId="0" fontId="2" fillId="10" borderId="17"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17" xfId="0" applyNumberFormat="1" applyFont="1" applyFill="1" applyBorder="1" applyAlignment="1">
      <alignment horizontal="center" vertical="center"/>
    </xf>
    <xf numFmtId="0" fontId="2" fillId="0" borderId="0" xfId="0" applyFont="1" applyAlignment="1">
      <alignment horizontal="center" vertical="center"/>
    </xf>
    <xf numFmtId="3" fontId="2" fillId="0" borderId="17" xfId="0" applyNumberFormat="1" applyFont="1" applyBorder="1" applyAlignment="1">
      <alignment horizontal="center" vertical="center"/>
    </xf>
    <xf numFmtId="0" fontId="2" fillId="0" borderId="17" xfId="0" applyFont="1" applyFill="1" applyBorder="1" applyAlignment="1">
      <alignment horizontal="center" vertical="center"/>
    </xf>
  </cellXfs>
  <cellStyles count="5">
    <cellStyle name="パーセント" xfId="3" builtinId="5"/>
    <cellStyle name="桁区切り" xfId="4" builtinId="6"/>
    <cellStyle name="桁区切り 2" xfId="2" xr:uid="{00000000-0005-0000-0000-000002000000}"/>
    <cellStyle name="標準" xfId="0" builtinId="0"/>
    <cellStyle name="標準 2" xfId="1" xr:uid="{00000000-0005-0000-0000-000004000000}"/>
  </cellStyles>
  <dxfs count="2">
    <dxf>
      <fill>
        <patternFill>
          <bgColor rgb="FFFFFF00"/>
        </patternFill>
      </fill>
    </dxf>
    <dxf>
      <fill>
        <patternFill patternType="none">
          <bgColor auto="1"/>
        </patternFill>
      </fill>
    </dxf>
  </dxfs>
  <tableStyles count="0" defaultTableStyle="TableStyleMedium2" defaultPivotStyle="PivotStyleLight16"/>
  <colors>
    <mruColors>
      <color rgb="FFE3FFC9"/>
      <color rgb="FFFFFFCC"/>
      <color rgb="FFD1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5857874" y="10439400"/>
          <a:ext cx="542925"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a:off x="3286125" y="5562600"/>
          <a:ext cx="542925" cy="59055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5</xdr:col>
          <xdr:colOff>1247775</xdr:colOff>
          <xdr:row>0</xdr:row>
          <xdr:rowOff>85725</xdr:rowOff>
        </xdr:from>
        <xdr:to>
          <xdr:col>7</xdr:col>
          <xdr:colOff>1095375</xdr:colOff>
          <xdr:row>2</xdr:row>
          <xdr:rowOff>104775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54864" tIns="77724" rIns="54864" bIns="77724" anchor="ctr" upright="1"/>
            <a:lstStyle/>
            <a:p>
              <a:pPr algn="ctr" rtl="0">
                <a:defRPr sz="1000"/>
              </a:pPr>
              <a:r>
                <a:rPr lang="ja-JP" altLang="en-US" sz="2200" b="0" i="0" u="none" strike="noStrike" baseline="0">
                  <a:solidFill>
                    <a:srgbClr val="000000"/>
                  </a:solidFill>
                  <a:latin typeface="メイリオ"/>
                  <a:ea typeface="メイリオ"/>
                </a:rPr>
                <a:t>リセット</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00000000-0008-0000-0300-000006000000}"/>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00000000-0008-0000-0300-000008000000}"/>
            </a:ext>
          </a:extLst>
        </xdr:cNvPr>
        <xdr:cNvSpPr/>
      </xdr:nvSpPr>
      <xdr:spPr>
        <a:xfrm>
          <a:off x="9522275" y="1006929"/>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00000000-0008-0000-0300-000009000000}"/>
            </a:ext>
          </a:extLst>
        </xdr:cNvPr>
        <xdr:cNvSpPr/>
      </xdr:nvSpPr>
      <xdr:spPr>
        <a:xfrm>
          <a:off x="7717970" y="1069521"/>
          <a:ext cx="612322" cy="639536"/>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3"/>
  <sheetViews>
    <sheetView tabSelected="1" zoomScaleNormal="100" workbookViewId="0">
      <selection activeCell="D5" sqref="D5"/>
    </sheetView>
  </sheetViews>
  <sheetFormatPr defaultRowHeight="18.75" x14ac:dyDescent="0.15"/>
  <cols>
    <col min="1" max="1" width="3.875" style="32" bestFit="1" customWidth="1"/>
    <col min="2" max="6" width="17.375" style="32" customWidth="1"/>
    <col min="7" max="7" width="16.75" style="32" customWidth="1"/>
    <col min="8" max="8" width="15.625" style="32" customWidth="1"/>
    <col min="9" max="9" width="20.125" style="32" customWidth="1"/>
    <col min="10" max="10" width="5.125" style="32" customWidth="1"/>
    <col min="11" max="11" width="11.25" style="32" hidden="1" customWidth="1"/>
    <col min="12" max="12" width="9.25" style="32" hidden="1" customWidth="1"/>
    <col min="13" max="13" width="11.25" style="32" hidden="1" customWidth="1"/>
    <col min="14" max="14" width="12.125" style="32" customWidth="1"/>
    <col min="15" max="15" width="9" style="32"/>
    <col min="16" max="16" width="6" style="32" customWidth="1"/>
    <col min="17" max="256" width="9" style="32"/>
    <col min="257" max="257" width="3.875" style="32" bestFit="1" customWidth="1"/>
    <col min="258" max="262" width="17.375" style="32" customWidth="1"/>
    <col min="263" max="265" width="15.625" style="32" customWidth="1"/>
    <col min="266" max="266" width="10.75" style="32" customWidth="1"/>
    <col min="267" max="268" width="0" style="32" hidden="1" customWidth="1"/>
    <col min="269" max="269" width="9.375" style="32" customWidth="1"/>
    <col min="270" max="270" width="10" style="32" customWidth="1"/>
    <col min="271" max="271" width="9" style="32"/>
    <col min="272" max="272" width="6" style="32" customWidth="1"/>
    <col min="273" max="512" width="9" style="32"/>
    <col min="513" max="513" width="3.875" style="32" bestFit="1" customWidth="1"/>
    <col min="514" max="518" width="17.375" style="32" customWidth="1"/>
    <col min="519" max="521" width="15.625" style="32" customWidth="1"/>
    <col min="522" max="522" width="10.75" style="32" customWidth="1"/>
    <col min="523" max="524" width="0" style="32" hidden="1" customWidth="1"/>
    <col min="525" max="525" width="9.375" style="32" customWidth="1"/>
    <col min="526" max="526" width="10" style="32" customWidth="1"/>
    <col min="527" max="527" width="9" style="32"/>
    <col min="528" max="528" width="6" style="32" customWidth="1"/>
    <col min="529" max="768" width="9" style="32"/>
    <col min="769" max="769" width="3.875" style="32" bestFit="1" customWidth="1"/>
    <col min="770" max="774" width="17.375" style="32" customWidth="1"/>
    <col min="775" max="777" width="15.625" style="32" customWidth="1"/>
    <col min="778" max="778" width="10.75" style="32" customWidth="1"/>
    <col min="779" max="780" width="0" style="32" hidden="1" customWidth="1"/>
    <col min="781" max="781" width="9.375" style="32" customWidth="1"/>
    <col min="782" max="782" width="10" style="32" customWidth="1"/>
    <col min="783" max="783" width="9" style="32"/>
    <col min="784" max="784" width="6" style="32" customWidth="1"/>
    <col min="785" max="1024" width="9" style="32"/>
    <col min="1025" max="1025" width="3.875" style="32" bestFit="1" customWidth="1"/>
    <col min="1026" max="1030" width="17.375" style="32" customWidth="1"/>
    <col min="1031" max="1033" width="15.625" style="32" customWidth="1"/>
    <col min="1034" max="1034" width="10.75" style="32" customWidth="1"/>
    <col min="1035" max="1036" width="0" style="32" hidden="1" customWidth="1"/>
    <col min="1037" max="1037" width="9.375" style="32" customWidth="1"/>
    <col min="1038" max="1038" width="10" style="32" customWidth="1"/>
    <col min="1039" max="1039" width="9" style="32"/>
    <col min="1040" max="1040" width="6" style="32" customWidth="1"/>
    <col min="1041" max="1280" width="9" style="32"/>
    <col min="1281" max="1281" width="3.875" style="32" bestFit="1" customWidth="1"/>
    <col min="1282" max="1286" width="17.375" style="32" customWidth="1"/>
    <col min="1287" max="1289" width="15.625" style="32" customWidth="1"/>
    <col min="1290" max="1290" width="10.75" style="32" customWidth="1"/>
    <col min="1291" max="1292" width="0" style="32" hidden="1" customWidth="1"/>
    <col min="1293" max="1293" width="9.375" style="32" customWidth="1"/>
    <col min="1294" max="1294" width="10" style="32" customWidth="1"/>
    <col min="1295" max="1295" width="9" style="32"/>
    <col min="1296" max="1296" width="6" style="32" customWidth="1"/>
    <col min="1297" max="1536" width="9" style="32"/>
    <col min="1537" max="1537" width="3.875" style="32" bestFit="1" customWidth="1"/>
    <col min="1538" max="1542" width="17.375" style="32" customWidth="1"/>
    <col min="1543" max="1545" width="15.625" style="32" customWidth="1"/>
    <col min="1546" max="1546" width="10.75" style="32" customWidth="1"/>
    <col min="1547" max="1548" width="0" style="32" hidden="1" customWidth="1"/>
    <col min="1549" max="1549" width="9.375" style="32" customWidth="1"/>
    <col min="1550" max="1550" width="10" style="32" customWidth="1"/>
    <col min="1551" max="1551" width="9" style="32"/>
    <col min="1552" max="1552" width="6" style="32" customWidth="1"/>
    <col min="1553" max="1792" width="9" style="32"/>
    <col min="1793" max="1793" width="3.875" style="32" bestFit="1" customWidth="1"/>
    <col min="1794" max="1798" width="17.375" style="32" customWidth="1"/>
    <col min="1799" max="1801" width="15.625" style="32" customWidth="1"/>
    <col min="1802" max="1802" width="10.75" style="32" customWidth="1"/>
    <col min="1803" max="1804" width="0" style="32" hidden="1" customWidth="1"/>
    <col min="1805" max="1805" width="9.375" style="32" customWidth="1"/>
    <col min="1806" max="1806" width="10" style="32" customWidth="1"/>
    <col min="1807" max="1807" width="9" style="32"/>
    <col min="1808" max="1808" width="6" style="32" customWidth="1"/>
    <col min="1809" max="2048" width="9" style="32"/>
    <col min="2049" max="2049" width="3.875" style="32" bestFit="1" customWidth="1"/>
    <col min="2050" max="2054" width="17.375" style="32" customWidth="1"/>
    <col min="2055" max="2057" width="15.625" style="32" customWidth="1"/>
    <col min="2058" max="2058" width="10.75" style="32" customWidth="1"/>
    <col min="2059" max="2060" width="0" style="32" hidden="1" customWidth="1"/>
    <col min="2061" max="2061" width="9.375" style="32" customWidth="1"/>
    <col min="2062" max="2062" width="10" style="32" customWidth="1"/>
    <col min="2063" max="2063" width="9" style="32"/>
    <col min="2064" max="2064" width="6" style="32" customWidth="1"/>
    <col min="2065" max="2304" width="9" style="32"/>
    <col min="2305" max="2305" width="3.875" style="32" bestFit="1" customWidth="1"/>
    <col min="2306" max="2310" width="17.375" style="32" customWidth="1"/>
    <col min="2311" max="2313" width="15.625" style="32" customWidth="1"/>
    <col min="2314" max="2314" width="10.75" style="32" customWidth="1"/>
    <col min="2315" max="2316" width="0" style="32" hidden="1" customWidth="1"/>
    <col min="2317" max="2317" width="9.375" style="32" customWidth="1"/>
    <col min="2318" max="2318" width="10" style="32" customWidth="1"/>
    <col min="2319" max="2319" width="9" style="32"/>
    <col min="2320" max="2320" width="6" style="32" customWidth="1"/>
    <col min="2321" max="2560" width="9" style="32"/>
    <col min="2561" max="2561" width="3.875" style="32" bestFit="1" customWidth="1"/>
    <col min="2562" max="2566" width="17.375" style="32" customWidth="1"/>
    <col min="2567" max="2569" width="15.625" style="32" customWidth="1"/>
    <col min="2570" max="2570" width="10.75" style="32" customWidth="1"/>
    <col min="2571" max="2572" width="0" style="32" hidden="1" customWidth="1"/>
    <col min="2573" max="2573" width="9.375" style="32" customWidth="1"/>
    <col min="2574" max="2574" width="10" style="32" customWidth="1"/>
    <col min="2575" max="2575" width="9" style="32"/>
    <col min="2576" max="2576" width="6" style="32" customWidth="1"/>
    <col min="2577" max="2816" width="9" style="32"/>
    <col min="2817" max="2817" width="3.875" style="32" bestFit="1" customWidth="1"/>
    <col min="2818" max="2822" width="17.375" style="32" customWidth="1"/>
    <col min="2823" max="2825" width="15.625" style="32" customWidth="1"/>
    <col min="2826" max="2826" width="10.75" style="32" customWidth="1"/>
    <col min="2827" max="2828" width="0" style="32" hidden="1" customWidth="1"/>
    <col min="2829" max="2829" width="9.375" style="32" customWidth="1"/>
    <col min="2830" max="2830" width="10" style="32" customWidth="1"/>
    <col min="2831" max="2831" width="9" style="32"/>
    <col min="2832" max="2832" width="6" style="32" customWidth="1"/>
    <col min="2833" max="3072" width="9" style="32"/>
    <col min="3073" max="3073" width="3.875" style="32" bestFit="1" customWidth="1"/>
    <col min="3074" max="3078" width="17.375" style="32" customWidth="1"/>
    <col min="3079" max="3081" width="15.625" style="32" customWidth="1"/>
    <col min="3082" max="3082" width="10.75" style="32" customWidth="1"/>
    <col min="3083" max="3084" width="0" style="32" hidden="1" customWidth="1"/>
    <col min="3085" max="3085" width="9.375" style="32" customWidth="1"/>
    <col min="3086" max="3086" width="10" style="32" customWidth="1"/>
    <col min="3087" max="3087" width="9" style="32"/>
    <col min="3088" max="3088" width="6" style="32" customWidth="1"/>
    <col min="3089" max="3328" width="9" style="32"/>
    <col min="3329" max="3329" width="3.875" style="32" bestFit="1" customWidth="1"/>
    <col min="3330" max="3334" width="17.375" style="32" customWidth="1"/>
    <col min="3335" max="3337" width="15.625" style="32" customWidth="1"/>
    <col min="3338" max="3338" width="10.75" style="32" customWidth="1"/>
    <col min="3339" max="3340" width="0" style="32" hidden="1" customWidth="1"/>
    <col min="3341" max="3341" width="9.375" style="32" customWidth="1"/>
    <col min="3342" max="3342" width="10" style="32" customWidth="1"/>
    <col min="3343" max="3343" width="9" style="32"/>
    <col min="3344" max="3344" width="6" style="32" customWidth="1"/>
    <col min="3345" max="3584" width="9" style="32"/>
    <col min="3585" max="3585" width="3.875" style="32" bestFit="1" customWidth="1"/>
    <col min="3586" max="3590" width="17.375" style="32" customWidth="1"/>
    <col min="3591" max="3593" width="15.625" style="32" customWidth="1"/>
    <col min="3594" max="3594" width="10.75" style="32" customWidth="1"/>
    <col min="3595" max="3596" width="0" style="32" hidden="1" customWidth="1"/>
    <col min="3597" max="3597" width="9.375" style="32" customWidth="1"/>
    <col min="3598" max="3598" width="10" style="32" customWidth="1"/>
    <col min="3599" max="3599" width="9" style="32"/>
    <col min="3600" max="3600" width="6" style="32" customWidth="1"/>
    <col min="3601" max="3840" width="9" style="32"/>
    <col min="3841" max="3841" width="3.875" style="32" bestFit="1" customWidth="1"/>
    <col min="3842" max="3846" width="17.375" style="32" customWidth="1"/>
    <col min="3847" max="3849" width="15.625" style="32" customWidth="1"/>
    <col min="3850" max="3850" width="10.75" style="32" customWidth="1"/>
    <col min="3851" max="3852" width="0" style="32" hidden="1" customWidth="1"/>
    <col min="3853" max="3853" width="9.375" style="32" customWidth="1"/>
    <col min="3854" max="3854" width="10" style="32" customWidth="1"/>
    <col min="3855" max="3855" width="9" style="32"/>
    <col min="3856" max="3856" width="6" style="32" customWidth="1"/>
    <col min="3857" max="4096" width="9" style="32"/>
    <col min="4097" max="4097" width="3.875" style="32" bestFit="1" customWidth="1"/>
    <col min="4098" max="4102" width="17.375" style="32" customWidth="1"/>
    <col min="4103" max="4105" width="15.625" style="32" customWidth="1"/>
    <col min="4106" max="4106" width="10.75" style="32" customWidth="1"/>
    <col min="4107" max="4108" width="0" style="32" hidden="1" customWidth="1"/>
    <col min="4109" max="4109" width="9.375" style="32" customWidth="1"/>
    <col min="4110" max="4110" width="10" style="32" customWidth="1"/>
    <col min="4111" max="4111" width="9" style="32"/>
    <col min="4112" max="4112" width="6" style="32" customWidth="1"/>
    <col min="4113" max="4352" width="9" style="32"/>
    <col min="4353" max="4353" width="3.875" style="32" bestFit="1" customWidth="1"/>
    <col min="4354" max="4358" width="17.375" style="32" customWidth="1"/>
    <col min="4359" max="4361" width="15.625" style="32" customWidth="1"/>
    <col min="4362" max="4362" width="10.75" style="32" customWidth="1"/>
    <col min="4363" max="4364" width="0" style="32" hidden="1" customWidth="1"/>
    <col min="4365" max="4365" width="9.375" style="32" customWidth="1"/>
    <col min="4366" max="4366" width="10" style="32" customWidth="1"/>
    <col min="4367" max="4367" width="9" style="32"/>
    <col min="4368" max="4368" width="6" style="32" customWidth="1"/>
    <col min="4369" max="4608" width="9" style="32"/>
    <col min="4609" max="4609" width="3.875" style="32" bestFit="1" customWidth="1"/>
    <col min="4610" max="4614" width="17.375" style="32" customWidth="1"/>
    <col min="4615" max="4617" width="15.625" style="32" customWidth="1"/>
    <col min="4618" max="4618" width="10.75" style="32" customWidth="1"/>
    <col min="4619" max="4620" width="0" style="32" hidden="1" customWidth="1"/>
    <col min="4621" max="4621" width="9.375" style="32" customWidth="1"/>
    <col min="4622" max="4622" width="10" style="32" customWidth="1"/>
    <col min="4623" max="4623" width="9" style="32"/>
    <col min="4624" max="4624" width="6" style="32" customWidth="1"/>
    <col min="4625" max="4864" width="9" style="32"/>
    <col min="4865" max="4865" width="3.875" style="32" bestFit="1" customWidth="1"/>
    <col min="4866" max="4870" width="17.375" style="32" customWidth="1"/>
    <col min="4871" max="4873" width="15.625" style="32" customWidth="1"/>
    <col min="4874" max="4874" width="10.75" style="32" customWidth="1"/>
    <col min="4875" max="4876" width="0" style="32" hidden="1" customWidth="1"/>
    <col min="4877" max="4877" width="9.375" style="32" customWidth="1"/>
    <col min="4878" max="4878" width="10" style="32" customWidth="1"/>
    <col min="4879" max="4879" width="9" style="32"/>
    <col min="4880" max="4880" width="6" style="32" customWidth="1"/>
    <col min="4881" max="5120" width="9" style="32"/>
    <col min="5121" max="5121" width="3.875" style="32" bestFit="1" customWidth="1"/>
    <col min="5122" max="5126" width="17.375" style="32" customWidth="1"/>
    <col min="5127" max="5129" width="15.625" style="32" customWidth="1"/>
    <col min="5130" max="5130" width="10.75" style="32" customWidth="1"/>
    <col min="5131" max="5132" width="0" style="32" hidden="1" customWidth="1"/>
    <col min="5133" max="5133" width="9.375" style="32" customWidth="1"/>
    <col min="5134" max="5134" width="10" style="32" customWidth="1"/>
    <col min="5135" max="5135" width="9" style="32"/>
    <col min="5136" max="5136" width="6" style="32" customWidth="1"/>
    <col min="5137" max="5376" width="9" style="32"/>
    <col min="5377" max="5377" width="3.875" style="32" bestFit="1" customWidth="1"/>
    <col min="5378" max="5382" width="17.375" style="32" customWidth="1"/>
    <col min="5383" max="5385" width="15.625" style="32" customWidth="1"/>
    <col min="5386" max="5386" width="10.75" style="32" customWidth="1"/>
    <col min="5387" max="5388" width="0" style="32" hidden="1" customWidth="1"/>
    <col min="5389" max="5389" width="9.375" style="32" customWidth="1"/>
    <col min="5390" max="5390" width="10" style="32" customWidth="1"/>
    <col min="5391" max="5391" width="9" style="32"/>
    <col min="5392" max="5392" width="6" style="32" customWidth="1"/>
    <col min="5393" max="5632" width="9" style="32"/>
    <col min="5633" max="5633" width="3.875" style="32" bestFit="1" customWidth="1"/>
    <col min="5634" max="5638" width="17.375" style="32" customWidth="1"/>
    <col min="5639" max="5641" width="15.625" style="32" customWidth="1"/>
    <col min="5642" max="5642" width="10.75" style="32" customWidth="1"/>
    <col min="5643" max="5644" width="0" style="32" hidden="1" customWidth="1"/>
    <col min="5645" max="5645" width="9.375" style="32" customWidth="1"/>
    <col min="5646" max="5646" width="10" style="32" customWidth="1"/>
    <col min="5647" max="5647" width="9" style="32"/>
    <col min="5648" max="5648" width="6" style="32" customWidth="1"/>
    <col min="5649" max="5888" width="9" style="32"/>
    <col min="5889" max="5889" width="3.875" style="32" bestFit="1" customWidth="1"/>
    <col min="5890" max="5894" width="17.375" style="32" customWidth="1"/>
    <col min="5895" max="5897" width="15.625" style="32" customWidth="1"/>
    <col min="5898" max="5898" width="10.75" style="32" customWidth="1"/>
    <col min="5899" max="5900" width="0" style="32" hidden="1" customWidth="1"/>
    <col min="5901" max="5901" width="9.375" style="32" customWidth="1"/>
    <col min="5902" max="5902" width="10" style="32" customWidth="1"/>
    <col min="5903" max="5903" width="9" style="32"/>
    <col min="5904" max="5904" width="6" style="32" customWidth="1"/>
    <col min="5905" max="6144" width="9" style="32"/>
    <col min="6145" max="6145" width="3.875" style="32" bestFit="1" customWidth="1"/>
    <col min="6146" max="6150" width="17.375" style="32" customWidth="1"/>
    <col min="6151" max="6153" width="15.625" style="32" customWidth="1"/>
    <col min="6154" max="6154" width="10.75" style="32" customWidth="1"/>
    <col min="6155" max="6156" width="0" style="32" hidden="1" customWidth="1"/>
    <col min="6157" max="6157" width="9.375" style="32" customWidth="1"/>
    <col min="6158" max="6158" width="10" style="32" customWidth="1"/>
    <col min="6159" max="6159" width="9" style="32"/>
    <col min="6160" max="6160" width="6" style="32" customWidth="1"/>
    <col min="6161" max="6400" width="9" style="32"/>
    <col min="6401" max="6401" width="3.875" style="32" bestFit="1" customWidth="1"/>
    <col min="6402" max="6406" width="17.375" style="32" customWidth="1"/>
    <col min="6407" max="6409" width="15.625" style="32" customWidth="1"/>
    <col min="6410" max="6410" width="10.75" style="32" customWidth="1"/>
    <col min="6411" max="6412" width="0" style="32" hidden="1" customWidth="1"/>
    <col min="6413" max="6413" width="9.375" style="32" customWidth="1"/>
    <col min="6414" max="6414" width="10" style="32" customWidth="1"/>
    <col min="6415" max="6415" width="9" style="32"/>
    <col min="6416" max="6416" width="6" style="32" customWidth="1"/>
    <col min="6417" max="6656" width="9" style="32"/>
    <col min="6657" max="6657" width="3.875" style="32" bestFit="1" customWidth="1"/>
    <col min="6658" max="6662" width="17.375" style="32" customWidth="1"/>
    <col min="6663" max="6665" width="15.625" style="32" customWidth="1"/>
    <col min="6666" max="6666" width="10.75" style="32" customWidth="1"/>
    <col min="6667" max="6668" width="0" style="32" hidden="1" customWidth="1"/>
    <col min="6669" max="6669" width="9.375" style="32" customWidth="1"/>
    <col min="6670" max="6670" width="10" style="32" customWidth="1"/>
    <col min="6671" max="6671" width="9" style="32"/>
    <col min="6672" max="6672" width="6" style="32" customWidth="1"/>
    <col min="6673" max="6912" width="9" style="32"/>
    <col min="6913" max="6913" width="3.875" style="32" bestFit="1" customWidth="1"/>
    <col min="6914" max="6918" width="17.375" style="32" customWidth="1"/>
    <col min="6919" max="6921" width="15.625" style="32" customWidth="1"/>
    <col min="6922" max="6922" width="10.75" style="32" customWidth="1"/>
    <col min="6923" max="6924" width="0" style="32" hidden="1" customWidth="1"/>
    <col min="6925" max="6925" width="9.375" style="32" customWidth="1"/>
    <col min="6926" max="6926" width="10" style="32" customWidth="1"/>
    <col min="6927" max="6927" width="9" style="32"/>
    <col min="6928" max="6928" width="6" style="32" customWidth="1"/>
    <col min="6929" max="7168" width="9" style="32"/>
    <col min="7169" max="7169" width="3.875" style="32" bestFit="1" customWidth="1"/>
    <col min="7170" max="7174" width="17.375" style="32" customWidth="1"/>
    <col min="7175" max="7177" width="15.625" style="32" customWidth="1"/>
    <col min="7178" max="7178" width="10.75" style="32" customWidth="1"/>
    <col min="7179" max="7180" width="0" style="32" hidden="1" customWidth="1"/>
    <col min="7181" max="7181" width="9.375" style="32" customWidth="1"/>
    <col min="7182" max="7182" width="10" style="32" customWidth="1"/>
    <col min="7183" max="7183" width="9" style="32"/>
    <col min="7184" max="7184" width="6" style="32" customWidth="1"/>
    <col min="7185" max="7424" width="9" style="32"/>
    <col min="7425" max="7425" width="3.875" style="32" bestFit="1" customWidth="1"/>
    <col min="7426" max="7430" width="17.375" style="32" customWidth="1"/>
    <col min="7431" max="7433" width="15.625" style="32" customWidth="1"/>
    <col min="7434" max="7434" width="10.75" style="32" customWidth="1"/>
    <col min="7435" max="7436" width="0" style="32" hidden="1" customWidth="1"/>
    <col min="7437" max="7437" width="9.375" style="32" customWidth="1"/>
    <col min="7438" max="7438" width="10" style="32" customWidth="1"/>
    <col min="7439" max="7439" width="9" style="32"/>
    <col min="7440" max="7440" width="6" style="32" customWidth="1"/>
    <col min="7441" max="7680" width="9" style="32"/>
    <col min="7681" max="7681" width="3.875" style="32" bestFit="1" customWidth="1"/>
    <col min="7682" max="7686" width="17.375" style="32" customWidth="1"/>
    <col min="7687" max="7689" width="15.625" style="32" customWidth="1"/>
    <col min="7690" max="7690" width="10.75" style="32" customWidth="1"/>
    <col min="7691" max="7692" width="0" style="32" hidden="1" customWidth="1"/>
    <col min="7693" max="7693" width="9.375" style="32" customWidth="1"/>
    <col min="7694" max="7694" width="10" style="32" customWidth="1"/>
    <col min="7695" max="7695" width="9" style="32"/>
    <col min="7696" max="7696" width="6" style="32" customWidth="1"/>
    <col min="7697" max="7936" width="9" style="32"/>
    <col min="7937" max="7937" width="3.875" style="32" bestFit="1" customWidth="1"/>
    <col min="7938" max="7942" width="17.375" style="32" customWidth="1"/>
    <col min="7943" max="7945" width="15.625" style="32" customWidth="1"/>
    <col min="7946" max="7946" width="10.75" style="32" customWidth="1"/>
    <col min="7947" max="7948" width="0" style="32" hidden="1" customWidth="1"/>
    <col min="7949" max="7949" width="9.375" style="32" customWidth="1"/>
    <col min="7950" max="7950" width="10" style="32" customWidth="1"/>
    <col min="7951" max="7951" width="9" style="32"/>
    <col min="7952" max="7952" width="6" style="32" customWidth="1"/>
    <col min="7953" max="8192" width="9" style="32"/>
    <col min="8193" max="8193" width="3.875" style="32" bestFit="1" customWidth="1"/>
    <col min="8194" max="8198" width="17.375" style="32" customWidth="1"/>
    <col min="8199" max="8201" width="15.625" style="32" customWidth="1"/>
    <col min="8202" max="8202" width="10.75" style="32" customWidth="1"/>
    <col min="8203" max="8204" width="0" style="32" hidden="1" customWidth="1"/>
    <col min="8205" max="8205" width="9.375" style="32" customWidth="1"/>
    <col min="8206" max="8206" width="10" style="32" customWidth="1"/>
    <col min="8207" max="8207" width="9" style="32"/>
    <col min="8208" max="8208" width="6" style="32" customWidth="1"/>
    <col min="8209" max="8448" width="9" style="32"/>
    <col min="8449" max="8449" width="3.875" style="32" bestFit="1" customWidth="1"/>
    <col min="8450" max="8454" width="17.375" style="32" customWidth="1"/>
    <col min="8455" max="8457" width="15.625" style="32" customWidth="1"/>
    <col min="8458" max="8458" width="10.75" style="32" customWidth="1"/>
    <col min="8459" max="8460" width="0" style="32" hidden="1" customWidth="1"/>
    <col min="8461" max="8461" width="9.375" style="32" customWidth="1"/>
    <col min="8462" max="8462" width="10" style="32" customWidth="1"/>
    <col min="8463" max="8463" width="9" style="32"/>
    <col min="8464" max="8464" width="6" style="32" customWidth="1"/>
    <col min="8465" max="8704" width="9" style="32"/>
    <col min="8705" max="8705" width="3.875" style="32" bestFit="1" customWidth="1"/>
    <col min="8706" max="8710" width="17.375" style="32" customWidth="1"/>
    <col min="8711" max="8713" width="15.625" style="32" customWidth="1"/>
    <col min="8714" max="8714" width="10.75" style="32" customWidth="1"/>
    <col min="8715" max="8716" width="0" style="32" hidden="1" customWidth="1"/>
    <col min="8717" max="8717" width="9.375" style="32" customWidth="1"/>
    <col min="8718" max="8718" width="10" style="32" customWidth="1"/>
    <col min="8719" max="8719" width="9" style="32"/>
    <col min="8720" max="8720" width="6" style="32" customWidth="1"/>
    <col min="8721" max="8960" width="9" style="32"/>
    <col min="8961" max="8961" width="3.875" style="32" bestFit="1" customWidth="1"/>
    <col min="8962" max="8966" width="17.375" style="32" customWidth="1"/>
    <col min="8967" max="8969" width="15.625" style="32" customWidth="1"/>
    <col min="8970" max="8970" width="10.75" style="32" customWidth="1"/>
    <col min="8971" max="8972" width="0" style="32" hidden="1" customWidth="1"/>
    <col min="8973" max="8973" width="9.375" style="32" customWidth="1"/>
    <col min="8974" max="8974" width="10" style="32" customWidth="1"/>
    <col min="8975" max="8975" width="9" style="32"/>
    <col min="8976" max="8976" width="6" style="32" customWidth="1"/>
    <col min="8977" max="9216" width="9" style="32"/>
    <col min="9217" max="9217" width="3.875" style="32" bestFit="1" customWidth="1"/>
    <col min="9218" max="9222" width="17.375" style="32" customWidth="1"/>
    <col min="9223" max="9225" width="15.625" style="32" customWidth="1"/>
    <col min="9226" max="9226" width="10.75" style="32" customWidth="1"/>
    <col min="9227" max="9228" width="0" style="32" hidden="1" customWidth="1"/>
    <col min="9229" max="9229" width="9.375" style="32" customWidth="1"/>
    <col min="9230" max="9230" width="10" style="32" customWidth="1"/>
    <col min="9231" max="9231" width="9" style="32"/>
    <col min="9232" max="9232" width="6" style="32" customWidth="1"/>
    <col min="9233" max="9472" width="9" style="32"/>
    <col min="9473" max="9473" width="3.875" style="32" bestFit="1" customWidth="1"/>
    <col min="9474" max="9478" width="17.375" style="32" customWidth="1"/>
    <col min="9479" max="9481" width="15.625" style="32" customWidth="1"/>
    <col min="9482" max="9482" width="10.75" style="32" customWidth="1"/>
    <col min="9483" max="9484" width="0" style="32" hidden="1" customWidth="1"/>
    <col min="9485" max="9485" width="9.375" style="32" customWidth="1"/>
    <col min="9486" max="9486" width="10" style="32" customWidth="1"/>
    <col min="9487" max="9487" width="9" style="32"/>
    <col min="9488" max="9488" width="6" style="32" customWidth="1"/>
    <col min="9489" max="9728" width="9" style="32"/>
    <col min="9729" max="9729" width="3.875" style="32" bestFit="1" customWidth="1"/>
    <col min="9730" max="9734" width="17.375" style="32" customWidth="1"/>
    <col min="9735" max="9737" width="15.625" style="32" customWidth="1"/>
    <col min="9738" max="9738" width="10.75" style="32" customWidth="1"/>
    <col min="9739" max="9740" width="0" style="32" hidden="1" customWidth="1"/>
    <col min="9741" max="9741" width="9.375" style="32" customWidth="1"/>
    <col min="9742" max="9742" width="10" style="32" customWidth="1"/>
    <col min="9743" max="9743" width="9" style="32"/>
    <col min="9744" max="9744" width="6" style="32" customWidth="1"/>
    <col min="9745" max="9984" width="9" style="32"/>
    <col min="9985" max="9985" width="3.875" style="32" bestFit="1" customWidth="1"/>
    <col min="9986" max="9990" width="17.375" style="32" customWidth="1"/>
    <col min="9991" max="9993" width="15.625" style="32" customWidth="1"/>
    <col min="9994" max="9994" width="10.75" style="32" customWidth="1"/>
    <col min="9995" max="9996" width="0" style="32" hidden="1" customWidth="1"/>
    <col min="9997" max="9997" width="9.375" style="32" customWidth="1"/>
    <col min="9998" max="9998" width="10" style="32" customWidth="1"/>
    <col min="9999" max="9999" width="9" style="32"/>
    <col min="10000" max="10000" width="6" style="32" customWidth="1"/>
    <col min="10001" max="10240" width="9" style="32"/>
    <col min="10241" max="10241" width="3.875" style="32" bestFit="1" customWidth="1"/>
    <col min="10242" max="10246" width="17.375" style="32" customWidth="1"/>
    <col min="10247" max="10249" width="15.625" style="32" customWidth="1"/>
    <col min="10250" max="10250" width="10.75" style="32" customWidth="1"/>
    <col min="10251" max="10252" width="0" style="32" hidden="1" customWidth="1"/>
    <col min="10253" max="10253" width="9.375" style="32" customWidth="1"/>
    <col min="10254" max="10254" width="10" style="32" customWidth="1"/>
    <col min="10255" max="10255" width="9" style="32"/>
    <col min="10256" max="10256" width="6" style="32" customWidth="1"/>
    <col min="10257" max="10496" width="9" style="32"/>
    <col min="10497" max="10497" width="3.875" style="32" bestFit="1" customWidth="1"/>
    <col min="10498" max="10502" width="17.375" style="32" customWidth="1"/>
    <col min="10503" max="10505" width="15.625" style="32" customWidth="1"/>
    <col min="10506" max="10506" width="10.75" style="32" customWidth="1"/>
    <col min="10507" max="10508" width="0" style="32" hidden="1" customWidth="1"/>
    <col min="10509" max="10509" width="9.375" style="32" customWidth="1"/>
    <col min="10510" max="10510" width="10" style="32" customWidth="1"/>
    <col min="10511" max="10511" width="9" style="32"/>
    <col min="10512" max="10512" width="6" style="32" customWidth="1"/>
    <col min="10513" max="10752" width="9" style="32"/>
    <col min="10753" max="10753" width="3.875" style="32" bestFit="1" customWidth="1"/>
    <col min="10754" max="10758" width="17.375" style="32" customWidth="1"/>
    <col min="10759" max="10761" width="15.625" style="32" customWidth="1"/>
    <col min="10762" max="10762" width="10.75" style="32" customWidth="1"/>
    <col min="10763" max="10764" width="0" style="32" hidden="1" customWidth="1"/>
    <col min="10765" max="10765" width="9.375" style="32" customWidth="1"/>
    <col min="10766" max="10766" width="10" style="32" customWidth="1"/>
    <col min="10767" max="10767" width="9" style="32"/>
    <col min="10768" max="10768" width="6" style="32" customWidth="1"/>
    <col min="10769" max="11008" width="9" style="32"/>
    <col min="11009" max="11009" width="3.875" style="32" bestFit="1" customWidth="1"/>
    <col min="11010" max="11014" width="17.375" style="32" customWidth="1"/>
    <col min="11015" max="11017" width="15.625" style="32" customWidth="1"/>
    <col min="11018" max="11018" width="10.75" style="32" customWidth="1"/>
    <col min="11019" max="11020" width="0" style="32" hidden="1" customWidth="1"/>
    <col min="11021" max="11021" width="9.375" style="32" customWidth="1"/>
    <col min="11022" max="11022" width="10" style="32" customWidth="1"/>
    <col min="11023" max="11023" width="9" style="32"/>
    <col min="11024" max="11024" width="6" style="32" customWidth="1"/>
    <col min="11025" max="11264" width="9" style="32"/>
    <col min="11265" max="11265" width="3.875" style="32" bestFit="1" customWidth="1"/>
    <col min="11266" max="11270" width="17.375" style="32" customWidth="1"/>
    <col min="11271" max="11273" width="15.625" style="32" customWidth="1"/>
    <col min="11274" max="11274" width="10.75" style="32" customWidth="1"/>
    <col min="11275" max="11276" width="0" style="32" hidden="1" customWidth="1"/>
    <col min="11277" max="11277" width="9.375" style="32" customWidth="1"/>
    <col min="11278" max="11278" width="10" style="32" customWidth="1"/>
    <col min="11279" max="11279" width="9" style="32"/>
    <col min="11280" max="11280" width="6" style="32" customWidth="1"/>
    <col min="11281" max="11520" width="9" style="32"/>
    <col min="11521" max="11521" width="3.875" style="32" bestFit="1" customWidth="1"/>
    <col min="11522" max="11526" width="17.375" style="32" customWidth="1"/>
    <col min="11527" max="11529" width="15.625" style="32" customWidth="1"/>
    <col min="11530" max="11530" width="10.75" style="32" customWidth="1"/>
    <col min="11531" max="11532" width="0" style="32" hidden="1" customWidth="1"/>
    <col min="11533" max="11533" width="9.375" style="32" customWidth="1"/>
    <col min="11534" max="11534" width="10" style="32" customWidth="1"/>
    <col min="11535" max="11535" width="9" style="32"/>
    <col min="11536" max="11536" width="6" style="32" customWidth="1"/>
    <col min="11537" max="11776" width="9" style="32"/>
    <col min="11777" max="11777" width="3.875" style="32" bestFit="1" customWidth="1"/>
    <col min="11778" max="11782" width="17.375" style="32" customWidth="1"/>
    <col min="11783" max="11785" width="15.625" style="32" customWidth="1"/>
    <col min="11786" max="11786" width="10.75" style="32" customWidth="1"/>
    <col min="11787" max="11788" width="0" style="32" hidden="1" customWidth="1"/>
    <col min="11789" max="11789" width="9.375" style="32" customWidth="1"/>
    <col min="11790" max="11790" width="10" style="32" customWidth="1"/>
    <col min="11791" max="11791" width="9" style="32"/>
    <col min="11792" max="11792" width="6" style="32" customWidth="1"/>
    <col min="11793" max="12032" width="9" style="32"/>
    <col min="12033" max="12033" width="3.875" style="32" bestFit="1" customWidth="1"/>
    <col min="12034" max="12038" width="17.375" style="32" customWidth="1"/>
    <col min="12039" max="12041" width="15.625" style="32" customWidth="1"/>
    <col min="12042" max="12042" width="10.75" style="32" customWidth="1"/>
    <col min="12043" max="12044" width="0" style="32" hidden="1" customWidth="1"/>
    <col min="12045" max="12045" width="9.375" style="32" customWidth="1"/>
    <col min="12046" max="12046" width="10" style="32" customWidth="1"/>
    <col min="12047" max="12047" width="9" style="32"/>
    <col min="12048" max="12048" width="6" style="32" customWidth="1"/>
    <col min="12049" max="12288" width="9" style="32"/>
    <col min="12289" max="12289" width="3.875" style="32" bestFit="1" customWidth="1"/>
    <col min="12290" max="12294" width="17.375" style="32" customWidth="1"/>
    <col min="12295" max="12297" width="15.625" style="32" customWidth="1"/>
    <col min="12298" max="12298" width="10.75" style="32" customWidth="1"/>
    <col min="12299" max="12300" width="0" style="32" hidden="1" customWidth="1"/>
    <col min="12301" max="12301" width="9.375" style="32" customWidth="1"/>
    <col min="12302" max="12302" width="10" style="32" customWidth="1"/>
    <col min="12303" max="12303" width="9" style="32"/>
    <col min="12304" max="12304" width="6" style="32" customWidth="1"/>
    <col min="12305" max="12544" width="9" style="32"/>
    <col min="12545" max="12545" width="3.875" style="32" bestFit="1" customWidth="1"/>
    <col min="12546" max="12550" width="17.375" style="32" customWidth="1"/>
    <col min="12551" max="12553" width="15.625" style="32" customWidth="1"/>
    <col min="12554" max="12554" width="10.75" style="32" customWidth="1"/>
    <col min="12555" max="12556" width="0" style="32" hidden="1" customWidth="1"/>
    <col min="12557" max="12557" width="9.375" style="32" customWidth="1"/>
    <col min="12558" max="12558" width="10" style="32" customWidth="1"/>
    <col min="12559" max="12559" width="9" style="32"/>
    <col min="12560" max="12560" width="6" style="32" customWidth="1"/>
    <col min="12561" max="12800" width="9" style="32"/>
    <col min="12801" max="12801" width="3.875" style="32" bestFit="1" customWidth="1"/>
    <col min="12802" max="12806" width="17.375" style="32" customWidth="1"/>
    <col min="12807" max="12809" width="15.625" style="32" customWidth="1"/>
    <col min="12810" max="12810" width="10.75" style="32" customWidth="1"/>
    <col min="12811" max="12812" width="0" style="32" hidden="1" customWidth="1"/>
    <col min="12813" max="12813" width="9.375" style="32" customWidth="1"/>
    <col min="12814" max="12814" width="10" style="32" customWidth="1"/>
    <col min="12815" max="12815" width="9" style="32"/>
    <col min="12816" max="12816" width="6" style="32" customWidth="1"/>
    <col min="12817" max="13056" width="9" style="32"/>
    <col min="13057" max="13057" width="3.875" style="32" bestFit="1" customWidth="1"/>
    <col min="13058" max="13062" width="17.375" style="32" customWidth="1"/>
    <col min="13063" max="13065" width="15.625" style="32" customWidth="1"/>
    <col min="13066" max="13066" width="10.75" style="32" customWidth="1"/>
    <col min="13067" max="13068" width="0" style="32" hidden="1" customWidth="1"/>
    <col min="13069" max="13069" width="9.375" style="32" customWidth="1"/>
    <col min="13070" max="13070" width="10" style="32" customWidth="1"/>
    <col min="13071" max="13071" width="9" style="32"/>
    <col min="13072" max="13072" width="6" style="32" customWidth="1"/>
    <col min="13073" max="13312" width="9" style="32"/>
    <col min="13313" max="13313" width="3.875" style="32" bestFit="1" customWidth="1"/>
    <col min="13314" max="13318" width="17.375" style="32" customWidth="1"/>
    <col min="13319" max="13321" width="15.625" style="32" customWidth="1"/>
    <col min="13322" max="13322" width="10.75" style="32" customWidth="1"/>
    <col min="13323" max="13324" width="0" style="32" hidden="1" customWidth="1"/>
    <col min="13325" max="13325" width="9.375" style="32" customWidth="1"/>
    <col min="13326" max="13326" width="10" style="32" customWidth="1"/>
    <col min="13327" max="13327" width="9" style="32"/>
    <col min="13328" max="13328" width="6" style="32" customWidth="1"/>
    <col min="13329" max="13568" width="9" style="32"/>
    <col min="13569" max="13569" width="3.875" style="32" bestFit="1" customWidth="1"/>
    <col min="13570" max="13574" width="17.375" style="32" customWidth="1"/>
    <col min="13575" max="13577" width="15.625" style="32" customWidth="1"/>
    <col min="13578" max="13578" width="10.75" style="32" customWidth="1"/>
    <col min="13579" max="13580" width="0" style="32" hidden="1" customWidth="1"/>
    <col min="13581" max="13581" width="9.375" style="32" customWidth="1"/>
    <col min="13582" max="13582" width="10" style="32" customWidth="1"/>
    <col min="13583" max="13583" width="9" style="32"/>
    <col min="13584" max="13584" width="6" style="32" customWidth="1"/>
    <col min="13585" max="13824" width="9" style="32"/>
    <col min="13825" max="13825" width="3.875" style="32" bestFit="1" customWidth="1"/>
    <col min="13826" max="13830" width="17.375" style="32" customWidth="1"/>
    <col min="13831" max="13833" width="15.625" style="32" customWidth="1"/>
    <col min="13834" max="13834" width="10.75" style="32" customWidth="1"/>
    <col min="13835" max="13836" width="0" style="32" hidden="1" customWidth="1"/>
    <col min="13837" max="13837" width="9.375" style="32" customWidth="1"/>
    <col min="13838" max="13838" width="10" style="32" customWidth="1"/>
    <col min="13839" max="13839" width="9" style="32"/>
    <col min="13840" max="13840" width="6" style="32" customWidth="1"/>
    <col min="13841" max="14080" width="9" style="32"/>
    <col min="14081" max="14081" width="3.875" style="32" bestFit="1" customWidth="1"/>
    <col min="14082" max="14086" width="17.375" style="32" customWidth="1"/>
    <col min="14087" max="14089" width="15.625" style="32" customWidth="1"/>
    <col min="14090" max="14090" width="10.75" style="32" customWidth="1"/>
    <col min="14091" max="14092" width="0" style="32" hidden="1" customWidth="1"/>
    <col min="14093" max="14093" width="9.375" style="32" customWidth="1"/>
    <col min="14094" max="14094" width="10" style="32" customWidth="1"/>
    <col min="14095" max="14095" width="9" style="32"/>
    <col min="14096" max="14096" width="6" style="32" customWidth="1"/>
    <col min="14097" max="14336" width="9" style="32"/>
    <col min="14337" max="14337" width="3.875" style="32" bestFit="1" customWidth="1"/>
    <col min="14338" max="14342" width="17.375" style="32" customWidth="1"/>
    <col min="14343" max="14345" width="15.625" style="32" customWidth="1"/>
    <col min="14346" max="14346" width="10.75" style="32" customWidth="1"/>
    <col min="14347" max="14348" width="0" style="32" hidden="1" customWidth="1"/>
    <col min="14349" max="14349" width="9.375" style="32" customWidth="1"/>
    <col min="14350" max="14350" width="10" style="32" customWidth="1"/>
    <col min="14351" max="14351" width="9" style="32"/>
    <col min="14352" max="14352" width="6" style="32" customWidth="1"/>
    <col min="14353" max="14592" width="9" style="32"/>
    <col min="14593" max="14593" width="3.875" style="32" bestFit="1" customWidth="1"/>
    <col min="14594" max="14598" width="17.375" style="32" customWidth="1"/>
    <col min="14599" max="14601" width="15.625" style="32" customWidth="1"/>
    <col min="14602" max="14602" width="10.75" style="32" customWidth="1"/>
    <col min="14603" max="14604" width="0" style="32" hidden="1" customWidth="1"/>
    <col min="14605" max="14605" width="9.375" style="32" customWidth="1"/>
    <col min="14606" max="14606" width="10" style="32" customWidth="1"/>
    <col min="14607" max="14607" width="9" style="32"/>
    <col min="14608" max="14608" width="6" style="32" customWidth="1"/>
    <col min="14609" max="14848" width="9" style="32"/>
    <col min="14849" max="14849" width="3.875" style="32" bestFit="1" customWidth="1"/>
    <col min="14850" max="14854" width="17.375" style="32" customWidth="1"/>
    <col min="14855" max="14857" width="15.625" style="32" customWidth="1"/>
    <col min="14858" max="14858" width="10.75" style="32" customWidth="1"/>
    <col min="14859" max="14860" width="0" style="32" hidden="1" customWidth="1"/>
    <col min="14861" max="14861" width="9.375" style="32" customWidth="1"/>
    <col min="14862" max="14862" width="10" style="32" customWidth="1"/>
    <col min="14863" max="14863" width="9" style="32"/>
    <col min="14864" max="14864" width="6" style="32" customWidth="1"/>
    <col min="14865" max="15104" width="9" style="32"/>
    <col min="15105" max="15105" width="3.875" style="32" bestFit="1" customWidth="1"/>
    <col min="15106" max="15110" width="17.375" style="32" customWidth="1"/>
    <col min="15111" max="15113" width="15.625" style="32" customWidth="1"/>
    <col min="15114" max="15114" width="10.75" style="32" customWidth="1"/>
    <col min="15115" max="15116" width="0" style="32" hidden="1" customWidth="1"/>
    <col min="15117" max="15117" width="9.375" style="32" customWidth="1"/>
    <col min="15118" max="15118" width="10" style="32" customWidth="1"/>
    <col min="15119" max="15119" width="9" style="32"/>
    <col min="15120" max="15120" width="6" style="32" customWidth="1"/>
    <col min="15121" max="15360" width="9" style="32"/>
    <col min="15361" max="15361" width="3.875" style="32" bestFit="1" customWidth="1"/>
    <col min="15362" max="15366" width="17.375" style="32" customWidth="1"/>
    <col min="15367" max="15369" width="15.625" style="32" customWidth="1"/>
    <col min="15370" max="15370" width="10.75" style="32" customWidth="1"/>
    <col min="15371" max="15372" width="0" style="32" hidden="1" customWidth="1"/>
    <col min="15373" max="15373" width="9.375" style="32" customWidth="1"/>
    <col min="15374" max="15374" width="10" style="32" customWidth="1"/>
    <col min="15375" max="15375" width="9" style="32"/>
    <col min="15376" max="15376" width="6" style="32" customWidth="1"/>
    <col min="15377" max="15616" width="9" style="32"/>
    <col min="15617" max="15617" width="3.875" style="32" bestFit="1" customWidth="1"/>
    <col min="15618" max="15622" width="17.375" style="32" customWidth="1"/>
    <col min="15623" max="15625" width="15.625" style="32" customWidth="1"/>
    <col min="15626" max="15626" width="10.75" style="32" customWidth="1"/>
    <col min="15627" max="15628" width="0" style="32" hidden="1" customWidth="1"/>
    <col min="15629" max="15629" width="9.375" style="32" customWidth="1"/>
    <col min="15630" max="15630" width="10" style="32" customWidth="1"/>
    <col min="15631" max="15631" width="9" style="32"/>
    <col min="15632" max="15632" width="6" style="32" customWidth="1"/>
    <col min="15633" max="15872" width="9" style="32"/>
    <col min="15873" max="15873" width="3.875" style="32" bestFit="1" customWidth="1"/>
    <col min="15874" max="15878" width="17.375" style="32" customWidth="1"/>
    <col min="15879" max="15881" width="15.625" style="32" customWidth="1"/>
    <col min="15882" max="15882" width="10.75" style="32" customWidth="1"/>
    <col min="15883" max="15884" width="0" style="32" hidden="1" customWidth="1"/>
    <col min="15885" max="15885" width="9.375" style="32" customWidth="1"/>
    <col min="15886" max="15886" width="10" style="32" customWidth="1"/>
    <col min="15887" max="15887" width="9" style="32"/>
    <col min="15888" max="15888" width="6" style="32" customWidth="1"/>
    <col min="15889" max="16128" width="9" style="32"/>
    <col min="16129" max="16129" width="3.875" style="32" bestFit="1" customWidth="1"/>
    <col min="16130" max="16134" width="17.375" style="32" customWidth="1"/>
    <col min="16135" max="16137" width="15.625" style="32" customWidth="1"/>
    <col min="16138" max="16138" width="10.75" style="32" customWidth="1"/>
    <col min="16139" max="16140" width="0" style="32" hidden="1" customWidth="1"/>
    <col min="16141" max="16141" width="9.375" style="32" customWidth="1"/>
    <col min="16142" max="16142" width="10" style="32" customWidth="1"/>
    <col min="16143" max="16143" width="9" style="32"/>
    <col min="16144" max="16144" width="6" style="32" customWidth="1"/>
    <col min="16145" max="16384" width="9" style="32"/>
  </cols>
  <sheetData>
    <row r="1" spans="1:13" ht="28.5" x14ac:dyDescent="0.15">
      <c r="B1" s="169" t="s">
        <v>135</v>
      </c>
      <c r="C1" s="169"/>
      <c r="D1" s="169"/>
      <c r="E1" s="169"/>
    </row>
    <row r="2" spans="1:13" ht="7.5" customHeight="1" x14ac:dyDescent="0.15"/>
    <row r="3" spans="1:13" ht="22.5" customHeight="1" x14ac:dyDescent="0.15">
      <c r="A3" s="33" t="s">
        <v>39</v>
      </c>
      <c r="B3" s="34" t="s">
        <v>70</v>
      </c>
      <c r="C3" s="35"/>
      <c r="D3" s="35"/>
      <c r="E3" s="35"/>
      <c r="F3" s="35"/>
      <c r="G3" s="35"/>
      <c r="H3" s="35"/>
      <c r="I3" s="35"/>
      <c r="J3" s="35"/>
    </row>
    <row r="4" spans="1:13" ht="26.25" customHeight="1" x14ac:dyDescent="0.15">
      <c r="A4" s="36"/>
      <c r="B4" s="37"/>
      <c r="C4" s="38" t="s">
        <v>13</v>
      </c>
      <c r="D4" s="38" t="s">
        <v>14</v>
      </c>
      <c r="E4" s="38" t="s">
        <v>116</v>
      </c>
      <c r="F4" s="38" t="s">
        <v>117</v>
      </c>
      <c r="G4" s="38" t="s">
        <v>118</v>
      </c>
      <c r="H4" s="148" t="s">
        <v>124</v>
      </c>
      <c r="I4" s="141" t="s">
        <v>119</v>
      </c>
      <c r="K4" s="39" t="s">
        <v>15</v>
      </c>
      <c r="L4" s="39" t="s">
        <v>16</v>
      </c>
      <c r="M4" s="39" t="s">
        <v>129</v>
      </c>
    </row>
    <row r="5" spans="1:13" ht="26.25" customHeight="1" x14ac:dyDescent="0.15">
      <c r="A5" s="36"/>
      <c r="B5" s="37">
        <v>1</v>
      </c>
      <c r="C5" s="139"/>
      <c r="D5" s="140"/>
      <c r="E5" s="151"/>
      <c r="F5" s="151"/>
      <c r="G5" s="161"/>
      <c r="H5" s="149">
        <f>IF(AND(E5&lt;&gt;"",F5&lt;&gt;""),MAX(MIN(E5,100000)+MIN(F5,100000)-100000,0),0)</f>
        <v>0</v>
      </c>
      <c r="I5" s="146">
        <f>IFERROR(IF(E5+F5+G5-H5&gt;0,E5+F5+G5-H5,0),"")</f>
        <v>0</v>
      </c>
      <c r="J5" s="40" t="str">
        <f>IF(COUNTA(C5:G5)=0,"",((IF(AND(C5&lt;&gt;"",D5&lt;&gt;""),"OK","すべて入力してください"))))</f>
        <v/>
      </c>
      <c r="K5" s="41" t="str">
        <f t="shared" ref="K5:K12" si="0">IF(C5="","",IF((I5-430000)&lt;0,0,IF(I5&lt;=24000000,I5-430000,IF(AND(I5&gt;24000000,I5&lt;=24500000),I5-290000,IF(AND(I5&gt;24500000,I5&lt;=25000000),I5-150000,I5)))))</f>
        <v/>
      </c>
      <c r="L5" s="39" t="str">
        <f t="shared" ref="L5:L12" si="1">IF(D5="","",IF(AND(D5&gt;=40,D5&lt;65),"該当","非該当"))</f>
        <v/>
      </c>
      <c r="M5" s="164">
        <f>IF(AND(D5&gt;=65,F5&gt;0),MIN(F5,150000),0)</f>
        <v>0</v>
      </c>
    </row>
    <row r="6" spans="1:13" ht="26.25" customHeight="1" x14ac:dyDescent="0.15">
      <c r="A6" s="36"/>
      <c r="B6" s="37">
        <v>2</v>
      </c>
      <c r="C6" s="139"/>
      <c r="D6" s="140"/>
      <c r="E6" s="151"/>
      <c r="F6" s="151"/>
      <c r="G6" s="161"/>
      <c r="H6" s="149">
        <f>IF(AND(E6&lt;&gt;"",F6&lt;&gt;""),MAX(MIN(E6,100000)+MIN(F6,100000)-100000,0),0)</f>
        <v>0</v>
      </c>
      <c r="I6" s="146">
        <f t="shared" ref="I6:I12" si="2">IFERROR(IF(E6+F6+G6-H6&gt;0,E6+F6+G6-H6,0),"")</f>
        <v>0</v>
      </c>
      <c r="J6" s="40" t="str">
        <f t="shared" ref="J6:J12" si="3">IF(COUNTA(C6:G6)=0,"",((IF(AND(C6&lt;&gt;"",D6&lt;&gt;""),"OK","すべて入力してください"))))</f>
        <v/>
      </c>
      <c r="K6" s="142" t="str">
        <f t="shared" si="0"/>
        <v/>
      </c>
      <c r="L6" s="39" t="str">
        <f t="shared" si="1"/>
        <v/>
      </c>
      <c r="M6" s="164">
        <f>IF(AND(D6&gt;=65,F6&gt;0),MIN(F6,150000),0)</f>
        <v>0</v>
      </c>
    </row>
    <row r="7" spans="1:13" ht="26.25" customHeight="1" x14ac:dyDescent="0.15">
      <c r="A7" s="36"/>
      <c r="B7" s="37">
        <v>3</v>
      </c>
      <c r="C7" s="139"/>
      <c r="D7" s="140"/>
      <c r="E7" s="151"/>
      <c r="F7" s="151"/>
      <c r="G7" s="161"/>
      <c r="H7" s="149">
        <f t="shared" ref="H7:H12" si="4">IF(AND(E7&lt;&gt;"",F7&lt;&gt;""),MAX(MIN(E7,100000)+MIN(F7,100000)-100000,0),0)</f>
        <v>0</v>
      </c>
      <c r="I7" s="146">
        <f t="shared" si="2"/>
        <v>0</v>
      </c>
      <c r="J7" s="40" t="str">
        <f t="shared" si="3"/>
        <v/>
      </c>
      <c r="K7" s="142" t="str">
        <f t="shared" si="0"/>
        <v/>
      </c>
      <c r="L7" s="39" t="str">
        <f t="shared" si="1"/>
        <v/>
      </c>
      <c r="M7" s="164">
        <f t="shared" ref="M7:M12" si="5">IF(AND(D7&gt;65,F7&gt;0),MIN(F7,150000),0)</f>
        <v>0</v>
      </c>
    </row>
    <row r="8" spans="1:13" ht="26.25" customHeight="1" x14ac:dyDescent="0.15">
      <c r="A8" s="36"/>
      <c r="B8" s="37">
        <v>4</v>
      </c>
      <c r="C8" s="139"/>
      <c r="D8" s="140"/>
      <c r="E8" s="151"/>
      <c r="F8" s="151"/>
      <c r="G8" s="161"/>
      <c r="H8" s="149">
        <f t="shared" si="4"/>
        <v>0</v>
      </c>
      <c r="I8" s="146">
        <f t="shared" si="2"/>
        <v>0</v>
      </c>
      <c r="J8" s="40" t="str">
        <f t="shared" si="3"/>
        <v/>
      </c>
      <c r="K8" s="142" t="str">
        <f t="shared" si="0"/>
        <v/>
      </c>
      <c r="L8" s="39" t="str">
        <f t="shared" si="1"/>
        <v/>
      </c>
      <c r="M8" s="164">
        <f t="shared" si="5"/>
        <v>0</v>
      </c>
    </row>
    <row r="9" spans="1:13" ht="26.25" customHeight="1" x14ac:dyDescent="0.15">
      <c r="A9" s="36"/>
      <c r="B9" s="37">
        <v>5</v>
      </c>
      <c r="C9" s="139"/>
      <c r="D9" s="140"/>
      <c r="E9" s="151"/>
      <c r="F9" s="151"/>
      <c r="G9" s="161"/>
      <c r="H9" s="149">
        <f t="shared" si="4"/>
        <v>0</v>
      </c>
      <c r="I9" s="146">
        <f t="shared" si="2"/>
        <v>0</v>
      </c>
      <c r="J9" s="40" t="str">
        <f t="shared" si="3"/>
        <v/>
      </c>
      <c r="K9" s="142" t="str">
        <f t="shared" si="0"/>
        <v/>
      </c>
      <c r="L9" s="39" t="str">
        <f t="shared" si="1"/>
        <v/>
      </c>
      <c r="M9" s="164">
        <f t="shared" si="5"/>
        <v>0</v>
      </c>
    </row>
    <row r="10" spans="1:13" ht="26.25" customHeight="1" x14ac:dyDescent="0.15">
      <c r="A10" s="36"/>
      <c r="B10" s="37">
        <v>6</v>
      </c>
      <c r="C10" s="139"/>
      <c r="D10" s="140"/>
      <c r="E10" s="151"/>
      <c r="F10" s="151"/>
      <c r="G10" s="161"/>
      <c r="H10" s="149">
        <f t="shared" si="4"/>
        <v>0</v>
      </c>
      <c r="I10" s="146">
        <f t="shared" si="2"/>
        <v>0</v>
      </c>
      <c r="J10" s="40" t="str">
        <f t="shared" si="3"/>
        <v/>
      </c>
      <c r="K10" s="142" t="str">
        <f t="shared" si="0"/>
        <v/>
      </c>
      <c r="L10" s="39" t="str">
        <f t="shared" si="1"/>
        <v/>
      </c>
      <c r="M10" s="164">
        <f t="shared" si="5"/>
        <v>0</v>
      </c>
    </row>
    <row r="11" spans="1:13" ht="26.25" customHeight="1" x14ac:dyDescent="0.15">
      <c r="A11" s="36"/>
      <c r="B11" s="37">
        <v>7</v>
      </c>
      <c r="C11" s="139"/>
      <c r="D11" s="140"/>
      <c r="E11" s="151"/>
      <c r="F11" s="159"/>
      <c r="G11" s="161"/>
      <c r="H11" s="149">
        <f t="shared" si="4"/>
        <v>0</v>
      </c>
      <c r="I11" s="146">
        <f t="shared" si="2"/>
        <v>0</v>
      </c>
      <c r="J11" s="40" t="str">
        <f t="shared" si="3"/>
        <v/>
      </c>
      <c r="K11" s="142" t="str">
        <f t="shared" si="0"/>
        <v/>
      </c>
      <c r="L11" s="39" t="str">
        <f t="shared" si="1"/>
        <v/>
      </c>
      <c r="M11" s="164">
        <f t="shared" si="5"/>
        <v>0</v>
      </c>
    </row>
    <row r="12" spans="1:13" ht="26.25" customHeight="1" x14ac:dyDescent="0.15">
      <c r="A12" s="36"/>
      <c r="B12" s="37">
        <v>8</v>
      </c>
      <c r="C12" s="139"/>
      <c r="D12" s="140"/>
      <c r="E12" s="151"/>
      <c r="F12" s="151"/>
      <c r="G12" s="161"/>
      <c r="H12" s="149">
        <f t="shared" si="4"/>
        <v>0</v>
      </c>
      <c r="I12" s="146">
        <f t="shared" si="2"/>
        <v>0</v>
      </c>
      <c r="J12" s="40" t="str">
        <f t="shared" si="3"/>
        <v/>
      </c>
      <c r="K12" s="142" t="str">
        <f t="shared" si="0"/>
        <v/>
      </c>
      <c r="L12" s="39" t="str">
        <f t="shared" si="1"/>
        <v/>
      </c>
      <c r="M12" s="164">
        <f t="shared" si="5"/>
        <v>0</v>
      </c>
    </row>
    <row r="13" spans="1:13" ht="7.5" customHeight="1" x14ac:dyDescent="0.15">
      <c r="A13" s="36"/>
      <c r="B13" s="35"/>
      <c r="C13" s="35"/>
      <c r="D13" s="35"/>
      <c r="E13" s="35"/>
      <c r="F13" s="35"/>
      <c r="G13" s="35"/>
      <c r="H13" s="35"/>
      <c r="I13" s="35"/>
      <c r="J13" s="35"/>
    </row>
    <row r="14" spans="1:13" ht="22.5" customHeight="1" x14ac:dyDescent="0.15">
      <c r="A14" s="33" t="s">
        <v>40</v>
      </c>
      <c r="B14" s="34" t="s">
        <v>17</v>
      </c>
      <c r="C14" s="35"/>
      <c r="D14" s="35"/>
      <c r="E14" s="35"/>
      <c r="F14" s="35"/>
      <c r="G14" s="35"/>
      <c r="H14" s="35"/>
      <c r="I14" s="35"/>
      <c r="J14" s="35"/>
      <c r="K14" s="42"/>
      <c r="L14" s="42"/>
    </row>
    <row r="15" spans="1:13" ht="22.5" customHeight="1" x14ac:dyDescent="0.15">
      <c r="A15" s="36"/>
      <c r="B15" s="160"/>
      <c r="C15" s="40" t="str">
        <f>IF(AND(F5="OK",B15=""),"入力してください",(IF(B15=1,"「はい」　算定結果を確認してください",IF(B15=2,"「いいえ」　Q３を入力してください",""))))</f>
        <v/>
      </c>
      <c r="D15" s="35"/>
      <c r="E15" s="35"/>
      <c r="F15" s="35"/>
      <c r="G15" s="35"/>
      <c r="H15" s="35"/>
      <c r="I15" s="35"/>
      <c r="J15" s="35"/>
      <c r="K15" s="42"/>
      <c r="L15" s="42"/>
    </row>
    <row r="16" spans="1:13" ht="19.5" x14ac:dyDescent="0.15">
      <c r="A16" s="36"/>
      <c r="B16" s="35"/>
      <c r="C16" s="35"/>
      <c r="D16" s="35"/>
      <c r="E16" s="35"/>
      <c r="F16" s="35"/>
      <c r="G16" s="35"/>
      <c r="H16" s="35"/>
      <c r="I16" s="35"/>
      <c r="J16" s="35"/>
      <c r="K16" s="42"/>
      <c r="L16" s="42"/>
    </row>
    <row r="17" spans="1:17" ht="22.5" customHeight="1" x14ac:dyDescent="0.15">
      <c r="A17" s="33" t="s">
        <v>18</v>
      </c>
      <c r="B17" s="34" t="s">
        <v>41</v>
      </c>
      <c r="C17" s="35"/>
      <c r="D17" s="35"/>
      <c r="E17" s="35"/>
      <c r="F17" s="35"/>
    </row>
    <row r="18" spans="1:17" ht="22.5" customHeight="1" x14ac:dyDescent="0.15">
      <c r="A18" s="35"/>
      <c r="B18" s="37" t="s">
        <v>42</v>
      </c>
      <c r="C18" s="157"/>
      <c r="D18" s="150"/>
      <c r="E18" s="40" t="str">
        <f>IF(B15="","",IF(B15=1,"入力しないでください",IF(D18&lt;&gt;"","算定結果を確認してください","入力してください")))</f>
        <v/>
      </c>
      <c r="F18" s="35"/>
      <c r="G18" s="152" t="str">
        <f>IF(AND(OR(C18="給与",C18="年金(65歳以上)",C18="年金(65歳未満)"),D18&gt;0),1,"0")</f>
        <v>0</v>
      </c>
      <c r="M18" s="39">
        <f>IF(AND(C18="年金(65歳以上)",D18&gt;0),MIN(D18,150000),0)</f>
        <v>0</v>
      </c>
    </row>
    <row r="19" spans="1:17" ht="13.5" customHeight="1" x14ac:dyDescent="0.15">
      <c r="A19" s="35"/>
      <c r="B19" s="43"/>
      <c r="C19" s="43"/>
      <c r="D19" s="35"/>
      <c r="E19" s="35"/>
      <c r="M19" s="165">
        <f>SUM(M5:M12)+M18</f>
        <v>0</v>
      </c>
    </row>
    <row r="20" spans="1:17" ht="13.5" customHeight="1" thickBot="1" x14ac:dyDescent="0.2">
      <c r="A20" s="35"/>
      <c r="B20" s="43"/>
      <c r="C20" s="43"/>
      <c r="D20" s="35"/>
      <c r="E20" s="35"/>
      <c r="F20" s="35"/>
    </row>
    <row r="21" spans="1:17" ht="28.5" x14ac:dyDescent="0.15">
      <c r="A21" s="44"/>
      <c r="B21" s="45" t="s">
        <v>19</v>
      </c>
      <c r="C21" s="46"/>
      <c r="D21" s="143"/>
      <c r="E21" s="46"/>
      <c r="F21" s="46"/>
      <c r="G21" s="47"/>
      <c r="H21" s="47"/>
      <c r="I21" s="47"/>
      <c r="J21" s="48"/>
    </row>
    <row r="22" spans="1:17" ht="26.25" customHeight="1" x14ac:dyDescent="0.15">
      <c r="A22" s="49"/>
      <c r="B22" s="50" t="s">
        <v>43</v>
      </c>
      <c r="C22" s="51">
        <f>IF(COUNTA(I5:I12)=0,"",SUM(I5:I12)+D18-M19)</f>
        <v>0</v>
      </c>
      <c r="D22" s="52"/>
      <c r="E22" s="52"/>
      <c r="F22" s="147" t="s">
        <v>121</v>
      </c>
      <c r="G22" s="145"/>
      <c r="H22" s="53"/>
      <c r="I22" s="53"/>
      <c r="J22" s="54"/>
    </row>
    <row r="23" spans="1:17" ht="26.25" customHeight="1" x14ac:dyDescent="0.15">
      <c r="A23" s="49"/>
      <c r="B23" s="50" t="s">
        <v>25</v>
      </c>
      <c r="C23" s="55" t="str">
        <f>IF(C5="","",IF(C22&lt;=C26+(G23-1)*100000,B26,IF(C22&lt;=(C26+C27*C33+(G23-1)*100000),B27,IF(C22&lt;=(C26+C28*C33+(G23-1)*100000),B28,"軽減なし"))))</f>
        <v/>
      </c>
      <c r="D23" s="52"/>
      <c r="E23" s="52"/>
      <c r="F23" s="144" t="s">
        <v>120</v>
      </c>
      <c r="G23" s="155">
        <f>COUNTIF(E5:E12,"&gt;0")+COUNTIFS(F5:F12,"&gt;0",E5:E12,"")+COUNTIFS(F5:F12,"&gt;0",E5:E12,"=0")+G18</f>
        <v>0</v>
      </c>
      <c r="H23" s="53"/>
      <c r="I23" s="167"/>
      <c r="J23" s="54"/>
    </row>
    <row r="24" spans="1:17" ht="26.25" customHeight="1" x14ac:dyDescent="0.15">
      <c r="A24" s="49"/>
      <c r="B24" s="52"/>
      <c r="C24" s="56"/>
      <c r="D24" s="52"/>
      <c r="E24" s="52"/>
      <c r="F24" s="52"/>
      <c r="G24" s="57"/>
      <c r="H24" s="52"/>
      <c r="I24" s="52"/>
      <c r="J24" s="58"/>
      <c r="K24" s="59"/>
      <c r="L24" s="59"/>
      <c r="M24" s="59"/>
      <c r="N24" s="59"/>
      <c r="O24" s="59"/>
      <c r="P24" s="59"/>
    </row>
    <row r="25" spans="1:17" ht="26.25" customHeight="1" x14ac:dyDescent="0.15">
      <c r="A25" s="49"/>
      <c r="B25" s="60" t="s">
        <v>44</v>
      </c>
      <c r="C25" s="178" t="s">
        <v>45</v>
      </c>
      <c r="D25" s="178"/>
      <c r="E25" s="178"/>
      <c r="F25" s="178"/>
      <c r="G25" s="178"/>
      <c r="H25" s="178"/>
      <c r="I25" s="178"/>
      <c r="J25" s="54"/>
      <c r="K25" s="59"/>
      <c r="L25" s="59"/>
    </row>
    <row r="26" spans="1:17" ht="26.25" customHeight="1" x14ac:dyDescent="0.15">
      <c r="A26" s="49"/>
      <c r="B26" s="60" t="s">
        <v>46</v>
      </c>
      <c r="C26" s="176">
        <v>430000</v>
      </c>
      <c r="D26" s="176"/>
      <c r="E26" s="176"/>
      <c r="F26" s="176"/>
      <c r="G26" s="176"/>
      <c r="H26" s="176"/>
      <c r="I26" s="176"/>
      <c r="J26" s="54"/>
    </row>
    <row r="27" spans="1:17" ht="26.25" customHeight="1" x14ac:dyDescent="0.15">
      <c r="A27" s="61"/>
      <c r="B27" s="60" t="s">
        <v>47</v>
      </c>
      <c r="C27" s="177">
        <v>295000</v>
      </c>
      <c r="D27" s="177"/>
      <c r="E27" s="177"/>
      <c r="F27" s="177"/>
      <c r="G27" s="177"/>
      <c r="H27" s="177"/>
      <c r="I27" s="177"/>
      <c r="J27" s="54"/>
    </row>
    <row r="28" spans="1:17" ht="26.25" customHeight="1" x14ac:dyDescent="0.15">
      <c r="A28" s="49"/>
      <c r="B28" s="60" t="s">
        <v>48</v>
      </c>
      <c r="C28" s="177">
        <v>545000</v>
      </c>
      <c r="D28" s="177"/>
      <c r="E28" s="177"/>
      <c r="F28" s="177"/>
      <c r="G28" s="177"/>
      <c r="H28" s="177"/>
      <c r="I28" s="177"/>
      <c r="J28" s="54"/>
    </row>
    <row r="29" spans="1:17" ht="20.25" customHeight="1" x14ac:dyDescent="0.45">
      <c r="A29" s="49"/>
      <c r="B29" s="62" t="s">
        <v>125</v>
      </c>
      <c r="C29" s="52"/>
      <c r="D29" s="52"/>
      <c r="E29" s="52"/>
      <c r="F29" s="53"/>
      <c r="G29" s="53"/>
      <c r="H29" s="53"/>
      <c r="I29" s="53"/>
      <c r="J29" s="54"/>
      <c r="K29" s="59"/>
    </row>
    <row r="30" spans="1:17" ht="20.25" customHeight="1" x14ac:dyDescent="0.15">
      <c r="A30" s="49"/>
      <c r="B30" s="57" t="s">
        <v>131</v>
      </c>
      <c r="C30" s="52"/>
      <c r="D30" s="52"/>
      <c r="E30" s="52"/>
      <c r="F30" s="53"/>
      <c r="G30" s="53"/>
      <c r="H30" s="53"/>
      <c r="I30" s="53"/>
      <c r="J30" s="54"/>
      <c r="K30" s="59"/>
      <c r="L30" s="59"/>
      <c r="M30" s="59"/>
      <c r="N30" s="59"/>
      <c r="O30" s="59"/>
      <c r="P30" s="59"/>
    </row>
    <row r="31" spans="1:17" ht="26.25" customHeight="1" x14ac:dyDescent="0.15">
      <c r="A31" s="49"/>
      <c r="B31" s="52"/>
      <c r="C31" s="52"/>
      <c r="D31" s="52"/>
      <c r="E31" s="52"/>
      <c r="F31" s="52"/>
      <c r="G31" s="53"/>
      <c r="H31" s="53"/>
      <c r="I31" s="53"/>
      <c r="J31" s="54"/>
      <c r="L31" s="59"/>
      <c r="M31" s="59"/>
      <c r="N31" s="59"/>
      <c r="O31" s="59"/>
      <c r="P31" s="59"/>
    </row>
    <row r="32" spans="1:17" ht="26.25" customHeight="1" x14ac:dyDescent="0.15">
      <c r="A32" s="49"/>
      <c r="B32" s="60"/>
      <c r="C32" s="60" t="s">
        <v>20</v>
      </c>
      <c r="D32" s="162" t="s">
        <v>133</v>
      </c>
      <c r="E32" s="60" t="s">
        <v>21</v>
      </c>
      <c r="F32" s="52"/>
      <c r="G32" s="53"/>
      <c r="H32" s="53"/>
      <c r="I32" s="53"/>
      <c r="J32" s="54"/>
      <c r="K32" s="59"/>
      <c r="M32" s="59"/>
      <c r="N32" s="59"/>
      <c r="O32" s="59"/>
      <c r="P32" s="59"/>
      <c r="Q32" s="59"/>
    </row>
    <row r="33" spans="1:17" ht="26.25" customHeight="1" x14ac:dyDescent="0.15">
      <c r="A33" s="49"/>
      <c r="B33" s="50" t="s">
        <v>22</v>
      </c>
      <c r="C33" s="50">
        <f>COUNTA(D5:D12)</f>
        <v>0</v>
      </c>
      <c r="D33" s="144">
        <f>COUNTIF(D5:D12,"&lt;6")</f>
        <v>0</v>
      </c>
      <c r="E33" s="51">
        <f>SUM(K5:K12)</f>
        <v>0</v>
      </c>
      <c r="F33" s="138"/>
      <c r="G33" s="53"/>
      <c r="H33" s="53"/>
      <c r="I33" s="53"/>
      <c r="J33" s="54"/>
      <c r="K33" s="59"/>
      <c r="M33" s="59"/>
      <c r="N33" s="59"/>
      <c r="O33" s="59"/>
      <c r="P33" s="59"/>
      <c r="Q33" s="59"/>
    </row>
    <row r="34" spans="1:17" ht="26.25" customHeight="1" x14ac:dyDescent="0.15">
      <c r="A34" s="49"/>
      <c r="B34" s="50" t="s">
        <v>23</v>
      </c>
      <c r="C34" s="50">
        <f>C33</f>
        <v>0</v>
      </c>
      <c r="D34" s="144">
        <f>D33</f>
        <v>0</v>
      </c>
      <c r="E34" s="63">
        <f>E33</f>
        <v>0</v>
      </c>
      <c r="F34" s="52"/>
      <c r="G34" s="53"/>
      <c r="H34" s="53"/>
      <c r="I34" s="53"/>
      <c r="J34" s="54"/>
      <c r="K34" s="59"/>
      <c r="M34" s="59"/>
      <c r="N34" s="59"/>
      <c r="O34" s="59"/>
      <c r="P34" s="59"/>
      <c r="Q34" s="59"/>
    </row>
    <row r="35" spans="1:17" ht="26.25" customHeight="1" x14ac:dyDescent="0.15">
      <c r="A35" s="49"/>
      <c r="B35" s="64" t="s">
        <v>24</v>
      </c>
      <c r="C35" s="50">
        <f>COUNTIF(D5:D12,"&gt;=40")-COUNTIF(D5:D12,"&gt;64")</f>
        <v>0</v>
      </c>
      <c r="D35" s="144">
        <v>0</v>
      </c>
      <c r="E35" s="63">
        <f>SUMIF(L5:L12,"該当",K5:K12)</f>
        <v>0</v>
      </c>
      <c r="F35" s="52"/>
      <c r="G35" s="53"/>
      <c r="H35" s="52"/>
      <c r="I35" s="52"/>
      <c r="J35" s="58"/>
      <c r="K35" s="163"/>
      <c r="L35" s="59"/>
      <c r="M35" s="59"/>
      <c r="N35" s="59"/>
      <c r="O35" s="59"/>
      <c r="P35" s="59"/>
      <c r="Q35" s="59"/>
    </row>
    <row r="36" spans="1:17" ht="26.25" customHeight="1" x14ac:dyDescent="0.15">
      <c r="A36" s="49"/>
      <c r="B36" s="52"/>
      <c r="C36" s="52"/>
      <c r="D36" s="52"/>
      <c r="E36" s="52"/>
      <c r="F36" s="52"/>
      <c r="G36" s="52" t="s">
        <v>26</v>
      </c>
      <c r="H36" s="52"/>
      <c r="I36" s="52"/>
      <c r="J36" s="58"/>
      <c r="K36" s="59"/>
      <c r="L36" s="59"/>
      <c r="M36" s="59"/>
      <c r="N36" s="59"/>
      <c r="O36" s="59"/>
      <c r="P36" s="59"/>
    </row>
    <row r="37" spans="1:17" ht="26.25" customHeight="1" x14ac:dyDescent="0.15">
      <c r="A37" s="49"/>
      <c r="B37" s="60" t="s">
        <v>27</v>
      </c>
      <c r="C37" s="60" t="s">
        <v>22</v>
      </c>
      <c r="D37" s="60" t="s">
        <v>23</v>
      </c>
      <c r="E37" s="60" t="s">
        <v>24</v>
      </c>
      <c r="F37" s="52"/>
      <c r="G37" s="60" t="s">
        <v>22</v>
      </c>
      <c r="H37" s="60" t="s">
        <v>23</v>
      </c>
      <c r="I37" s="60" t="s">
        <v>24</v>
      </c>
      <c r="J37" s="58"/>
      <c r="K37" s="59"/>
      <c r="L37" s="59"/>
      <c r="M37" s="59"/>
      <c r="N37" s="59"/>
      <c r="O37" s="59"/>
      <c r="P37" s="59"/>
    </row>
    <row r="38" spans="1:17" ht="26.25" customHeight="1" x14ac:dyDescent="0.15">
      <c r="A38" s="49"/>
      <c r="B38" s="50" t="s">
        <v>28</v>
      </c>
      <c r="C38" s="63">
        <f>E33*G38/100</f>
        <v>0</v>
      </c>
      <c r="D38" s="63">
        <f>E34*H38/100</f>
        <v>0</v>
      </c>
      <c r="E38" s="63">
        <f>E35*I38/100</f>
        <v>0</v>
      </c>
      <c r="F38" s="52"/>
      <c r="G38" s="65">
        <v>7</v>
      </c>
      <c r="H38" s="65">
        <v>2.5</v>
      </c>
      <c r="I38" s="65">
        <v>2.1</v>
      </c>
      <c r="J38" s="58"/>
      <c r="K38" s="59"/>
      <c r="L38" s="59"/>
      <c r="M38" s="59"/>
      <c r="N38" s="59"/>
      <c r="O38" s="59"/>
      <c r="P38" s="59"/>
    </row>
    <row r="39" spans="1:17" ht="26.25" customHeight="1" x14ac:dyDescent="0.15">
      <c r="A39" s="49"/>
      <c r="B39" s="50" t="s">
        <v>29</v>
      </c>
      <c r="C39" s="63">
        <f>C33*G39</f>
        <v>0</v>
      </c>
      <c r="D39" s="63">
        <f>C34*H39</f>
        <v>0</v>
      </c>
      <c r="E39" s="63">
        <f>C35*I39</f>
        <v>0</v>
      </c>
      <c r="F39" s="52"/>
      <c r="G39" s="66">
        <v>26400</v>
      </c>
      <c r="H39" s="66">
        <v>9200</v>
      </c>
      <c r="I39" s="66">
        <v>9900</v>
      </c>
      <c r="J39" s="58"/>
      <c r="K39" s="59"/>
      <c r="L39" s="59"/>
      <c r="M39" s="59"/>
      <c r="N39" s="59"/>
      <c r="O39" s="59"/>
      <c r="P39" s="59"/>
    </row>
    <row r="40" spans="1:17" ht="26.25" customHeight="1" x14ac:dyDescent="0.15">
      <c r="A40" s="49"/>
      <c r="B40" s="50" t="s">
        <v>30</v>
      </c>
      <c r="C40" s="63">
        <f>IF(C33=0,0,G40)</f>
        <v>0</v>
      </c>
      <c r="D40" s="63">
        <f>IF(C34=0,0,H40)</f>
        <v>0</v>
      </c>
      <c r="E40" s="63">
        <f>IF(C35=0,0,I40)</f>
        <v>0</v>
      </c>
      <c r="F40" s="52"/>
      <c r="G40" s="66">
        <v>20100</v>
      </c>
      <c r="H40" s="66">
        <v>7100</v>
      </c>
      <c r="I40" s="66">
        <v>5800</v>
      </c>
      <c r="J40" s="58"/>
      <c r="K40" s="59"/>
      <c r="L40" s="59"/>
      <c r="M40" s="59"/>
      <c r="N40" s="59"/>
      <c r="O40" s="59"/>
      <c r="P40" s="59"/>
    </row>
    <row r="41" spans="1:17" ht="26.25" customHeight="1" x14ac:dyDescent="0.15">
      <c r="A41" s="49"/>
      <c r="B41" s="50" t="s">
        <v>31</v>
      </c>
      <c r="C41" s="63">
        <f>IF(C33=0,0,IF($C$23="軽減なし",0,IF($C$23=B26,G39*0.7*C33,IF($C$23=B27,G39*0.5*C33,IF($C$23=B28,G39*0.2*C33,"")))))</f>
        <v>0</v>
      </c>
      <c r="D41" s="63">
        <f>IF(C34=0,0,IF($C$23="軽減なし",0,IF($C$23=B26,H39*0.7*C34,IF($C$23=B27,H39*0.5*C34,IF($C$23=B28,H39*0.2*C34,"")))))</f>
        <v>0</v>
      </c>
      <c r="E41" s="63">
        <f>IF(C35=0,0,IF($C$23="軽減なし",0,IF($C$23=B26,I39*0.7*C35,IF($C$23=B27,I39*0.5*C35,IF($C$23=B28,I39*0.2*C35,"")))))</f>
        <v>0</v>
      </c>
      <c r="F41" s="52"/>
      <c r="G41" s="102"/>
      <c r="H41" s="102"/>
      <c r="I41" s="102"/>
      <c r="J41" s="58"/>
      <c r="K41" s="59"/>
      <c r="L41" s="59"/>
      <c r="M41" s="59"/>
      <c r="N41" s="59"/>
      <c r="O41" s="59"/>
      <c r="P41" s="59"/>
    </row>
    <row r="42" spans="1:17" ht="26.25" customHeight="1" x14ac:dyDescent="0.15">
      <c r="A42" s="49"/>
      <c r="B42" s="166" t="s">
        <v>132</v>
      </c>
      <c r="C42" s="63">
        <f>IF(C33=0,0,IF($C$23="軽減なし",G39*0.5*D33,IF($C$23=B26,G39*0.15*D33,IF($C$23=B27,G39*0.25*D33,IF($C$23=B28,G39*0.4*D33,"")))))</f>
        <v>0</v>
      </c>
      <c r="D42" s="63">
        <f>IF(C33=0,0,IF($C$23="軽減なし",H39*0.5*D33,IF($C$23=B26,H39*0.15*D33,IF($C$23=B27,H39*0.25*D33,IF($C$23=B28,H39*0.4*D33,"")))))</f>
        <v>0</v>
      </c>
      <c r="E42" s="63">
        <v>0</v>
      </c>
      <c r="F42" s="145"/>
      <c r="G42" s="102"/>
      <c r="H42" s="102"/>
      <c r="I42" s="102"/>
      <c r="J42" s="58"/>
      <c r="K42" s="59"/>
      <c r="L42" s="59"/>
      <c r="M42" s="59"/>
      <c r="N42" s="59"/>
      <c r="O42" s="59"/>
      <c r="P42" s="59"/>
    </row>
    <row r="43" spans="1:17" ht="26.25" customHeight="1" x14ac:dyDescent="0.15">
      <c r="A43" s="67"/>
      <c r="B43" s="50" t="s">
        <v>33</v>
      </c>
      <c r="C43" s="63">
        <f>IF(C33=0,0,IF($C$23="軽減なし",0,IF($C$23=B26,G40*0.7,IF($C$23=B27,G40*0.5,IF($C$23=B28,G40*0.2,"")))))</f>
        <v>0</v>
      </c>
      <c r="D43" s="63">
        <f>IF(C33=0,0,IF($C$23="軽減なし",0,IF($C$23=B26,H40*0.7,IF($C$23=B27,H40*0.5,IF($C$23=B28,H40*0.2,"")))))</f>
        <v>0</v>
      </c>
      <c r="E43" s="63">
        <f>IF(C35=0,0,IF($C$23="軽減なし",0,IF($C$23=B26,I40*0.7,IF($C$23=B27,I40*0.5,IF($C$23=B28,I40*0.2,"")))))</f>
        <v>0</v>
      </c>
      <c r="F43" s="52"/>
      <c r="G43" s="52" t="s">
        <v>32</v>
      </c>
      <c r="H43" s="52"/>
      <c r="I43" s="52"/>
      <c r="J43" s="58"/>
      <c r="K43" s="59"/>
      <c r="L43" s="59"/>
      <c r="M43" s="59"/>
      <c r="N43" s="59"/>
      <c r="O43" s="59"/>
      <c r="P43" s="59"/>
    </row>
    <row r="44" spans="1:17" ht="26.25" customHeight="1" x14ac:dyDescent="0.15">
      <c r="A44" s="67"/>
      <c r="B44" s="50" t="s">
        <v>34</v>
      </c>
      <c r="C44" s="63">
        <f>IF(SUM(C38:C40)&lt;G45,0,SUM(C38:C40)-G45)</f>
        <v>0</v>
      </c>
      <c r="D44" s="63">
        <f>IF(SUM(D38:D40)&lt;H45,0,SUM(D38:D40)-H45)</f>
        <v>0</v>
      </c>
      <c r="E44" s="63">
        <f>IF(SUM(E38:E40)&lt;I45,0,SUM(E38:E40)-I45)</f>
        <v>0</v>
      </c>
      <c r="F44" s="52"/>
      <c r="G44" s="60" t="s">
        <v>22</v>
      </c>
      <c r="H44" s="60" t="s">
        <v>23</v>
      </c>
      <c r="I44" s="60" t="s">
        <v>24</v>
      </c>
      <c r="J44" s="58"/>
      <c r="K44" s="59"/>
      <c r="L44" s="59"/>
      <c r="M44" s="59"/>
      <c r="N44" s="59"/>
      <c r="O44" s="59"/>
      <c r="P44" s="59"/>
    </row>
    <row r="45" spans="1:17" ht="26.25" customHeight="1" thickBot="1" x14ac:dyDescent="0.2">
      <c r="A45" s="68"/>
      <c r="B45" s="107" t="s">
        <v>35</v>
      </c>
      <c r="C45" s="108">
        <f>ROUNDDOWN(SUM(C38:C40)-SUM(C41:C44),-2)</f>
        <v>0</v>
      </c>
      <c r="D45" s="108">
        <f>ROUNDDOWN(SUM(D38:D40)-SUM(D41:D44),-2)</f>
        <v>0</v>
      </c>
      <c r="E45" s="108">
        <f>ROUNDDOWN(SUM(E38:E40)-SUM(E41:E44),-2)</f>
        <v>0</v>
      </c>
      <c r="F45" s="109"/>
      <c r="G45" s="110">
        <v>650000</v>
      </c>
      <c r="H45" s="110">
        <v>240000</v>
      </c>
      <c r="I45" s="110">
        <v>170000</v>
      </c>
      <c r="J45" s="111"/>
      <c r="K45" s="59"/>
      <c r="L45" s="59"/>
      <c r="M45" s="59"/>
      <c r="N45" s="59"/>
      <c r="O45" s="59"/>
      <c r="P45" s="59"/>
    </row>
    <row r="46" spans="1:17" ht="37.5" customHeight="1" thickBot="1" x14ac:dyDescent="0.2">
      <c r="A46" s="112"/>
      <c r="B46" s="113"/>
      <c r="C46" s="113"/>
      <c r="D46" s="113"/>
      <c r="E46" s="113"/>
      <c r="F46" s="113"/>
      <c r="G46" s="113"/>
      <c r="H46" s="113"/>
      <c r="I46" s="113"/>
      <c r="J46" s="113"/>
      <c r="K46" s="59"/>
      <c r="L46" s="59"/>
      <c r="M46" s="59"/>
      <c r="N46" s="59"/>
      <c r="O46" s="59"/>
      <c r="P46" s="59"/>
    </row>
    <row r="47" spans="1:17" ht="60.75" customHeight="1" thickBot="1" x14ac:dyDescent="0.2">
      <c r="A47" s="103"/>
      <c r="B47" s="174" t="s">
        <v>36</v>
      </c>
      <c r="C47" s="175"/>
      <c r="D47" s="175"/>
      <c r="E47" s="175"/>
      <c r="F47" s="172" t="str">
        <f>TEXT(SUM(C45:E45),"#,##0")</f>
        <v>0</v>
      </c>
      <c r="G47" s="172"/>
      <c r="H47" s="115" t="s">
        <v>37</v>
      </c>
      <c r="I47" s="103"/>
      <c r="J47" s="103"/>
      <c r="K47" s="59"/>
      <c r="L47" s="59"/>
      <c r="M47" s="59"/>
      <c r="N47" s="59"/>
      <c r="O47" s="59"/>
      <c r="P47" s="59"/>
    </row>
    <row r="48" spans="1:17" ht="37.5" customHeight="1" thickBot="1" x14ac:dyDescent="0.2">
      <c r="A48" s="103"/>
      <c r="B48" s="116"/>
      <c r="C48" s="116"/>
      <c r="D48" s="116"/>
      <c r="E48" s="116"/>
      <c r="F48" s="117"/>
      <c r="G48" s="117"/>
      <c r="H48" s="118"/>
      <c r="I48" s="103"/>
      <c r="J48" s="103"/>
      <c r="K48" s="59"/>
      <c r="L48" s="59"/>
      <c r="M48" s="59"/>
      <c r="N48" s="59"/>
      <c r="O48" s="59"/>
      <c r="P48" s="59"/>
    </row>
    <row r="49" spans="1:11" ht="60" customHeight="1" thickBot="1" x14ac:dyDescent="0.2">
      <c r="A49" s="103"/>
      <c r="B49" s="170" t="s">
        <v>49</v>
      </c>
      <c r="C49" s="171"/>
      <c r="D49" s="171"/>
      <c r="E49" s="171"/>
      <c r="F49" s="173" t="str">
        <f>TEXT(ROUND(SUM(C45:E45)/12,0),"#,##0")</f>
        <v>0</v>
      </c>
      <c r="G49" s="173"/>
      <c r="H49" s="114" t="s">
        <v>37</v>
      </c>
      <c r="I49" s="103"/>
      <c r="J49" s="103"/>
      <c r="K49" s="59"/>
    </row>
    <row r="50" spans="1:11" ht="37.5" customHeight="1" thickBot="1" x14ac:dyDescent="0.2">
      <c r="A50" s="103"/>
      <c r="B50" s="104" t="s">
        <v>50</v>
      </c>
      <c r="C50" s="105"/>
      <c r="D50" s="105"/>
      <c r="E50" s="106"/>
      <c r="F50" s="106"/>
      <c r="G50" s="103"/>
      <c r="H50" s="103"/>
      <c r="I50" s="103"/>
      <c r="J50" s="103"/>
      <c r="K50" s="59"/>
    </row>
    <row r="51" spans="1:11" ht="60" customHeight="1" thickBot="1" x14ac:dyDescent="0.2">
      <c r="A51" s="103"/>
      <c r="B51" s="170" t="s">
        <v>38</v>
      </c>
      <c r="C51" s="171"/>
      <c r="D51" s="171"/>
      <c r="E51" s="171"/>
      <c r="F51" s="173" t="str">
        <f>TEXT(ROUND(SUM(C45:E45)/8,0),"#,##0")</f>
        <v>0</v>
      </c>
      <c r="G51" s="173"/>
      <c r="H51" s="114" t="s">
        <v>37</v>
      </c>
      <c r="I51" s="103"/>
      <c r="J51" s="103"/>
      <c r="K51" s="59"/>
    </row>
    <row r="52" spans="1:11" ht="22.5" customHeight="1" x14ac:dyDescent="0.15">
      <c r="A52" s="103"/>
      <c r="B52" s="103"/>
      <c r="C52" s="103"/>
      <c r="D52" s="103"/>
      <c r="E52" s="103"/>
      <c r="F52" s="103"/>
      <c r="G52" s="103"/>
      <c r="H52" s="103"/>
      <c r="I52" s="103"/>
      <c r="J52" s="103"/>
      <c r="K52" s="59"/>
    </row>
    <row r="53" spans="1:11" ht="22.5" customHeight="1" x14ac:dyDescent="0.15">
      <c r="B53" s="168" t="s">
        <v>134</v>
      </c>
    </row>
  </sheetData>
  <sheetProtection selectLockedCells="1"/>
  <mergeCells count="11">
    <mergeCell ref="B1:E1"/>
    <mergeCell ref="B49:E49"/>
    <mergeCell ref="F47:G47"/>
    <mergeCell ref="F49:G49"/>
    <mergeCell ref="F51:G51"/>
    <mergeCell ref="B51:E51"/>
    <mergeCell ref="B47:E47"/>
    <mergeCell ref="C26:I26"/>
    <mergeCell ref="C27:I27"/>
    <mergeCell ref="C28:I28"/>
    <mergeCell ref="C25:I25"/>
  </mergeCells>
  <phoneticPr fontId="1"/>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89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5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1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7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3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69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5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1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7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3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49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5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1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7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00000000-0002-0000-0000-000000000000}">
      <formula1>"1,2"</formula1>
    </dataValidation>
    <dataValidation type="whole" errorStyle="warning" operator="greaterThanOrEqual" allowBlank="1" showInputMessage="1" showErrorMessage="1" errorTitle="入力内容を確認してください" error="数値を入力してください" sqref="D65543:F65550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4:JB65551 SV65544:SX65551 ACR65544:ACT65551 AMN65544:AMP65551 AWJ65544:AWL65551 BGF65544:BGH65551 BQB65544:BQD65551 BZX65544:BZZ65551 CJT65544:CJV65551 CTP65544:CTR65551 DDL65544:DDN65551 DNH65544:DNJ65551 DXD65544:DXF65551 EGZ65544:EHB65551 EQV65544:EQX65551 FAR65544:FAT65551 FKN65544:FKP65551 FUJ65544:FUL65551 GEF65544:GEH65551 GOB65544:GOD65551 GXX65544:GXZ65551 HHT65544:HHV65551 HRP65544:HRR65551 IBL65544:IBN65551 ILH65544:ILJ65551 IVD65544:IVF65551 JEZ65544:JFB65551 JOV65544:JOX65551 JYR65544:JYT65551 KIN65544:KIP65551 KSJ65544:KSL65551 LCF65544:LCH65551 LMB65544:LMD65551 LVX65544:LVZ65551 MFT65544:MFV65551 MPP65544:MPR65551 MZL65544:MZN65551 NJH65544:NJJ65551 NTD65544:NTF65551 OCZ65544:ODB65551 OMV65544:OMX65551 OWR65544:OWT65551 PGN65544:PGP65551 PQJ65544:PQL65551 QAF65544:QAH65551 QKB65544:QKD65551 QTX65544:QTZ65551 RDT65544:RDV65551 RNP65544:RNR65551 RXL65544:RXN65551 SHH65544:SHJ65551 SRD65544:SRF65551 TAZ65544:TBB65551 TKV65544:TKX65551 TUR65544:TUT65551 UEN65544:UEP65551 UOJ65544:UOL65551 UYF65544:UYH65551 VIB65544:VID65551 VRX65544:VRZ65551 WBT65544:WBV65551 WLP65544:WLR65551 WVL65544:WVN65551 IZ131080:JB131087 SV131080:SX131087 ACR131080:ACT131087 AMN131080:AMP131087 AWJ131080:AWL131087 BGF131080:BGH131087 BQB131080:BQD131087 BZX131080:BZZ131087 CJT131080:CJV131087 CTP131080:CTR131087 DDL131080:DDN131087 DNH131080:DNJ131087 DXD131080:DXF131087 EGZ131080:EHB131087 EQV131080:EQX131087 FAR131080:FAT131087 FKN131080:FKP131087 FUJ131080:FUL131087 GEF131080:GEH131087 GOB131080:GOD131087 GXX131080:GXZ131087 HHT131080:HHV131087 HRP131080:HRR131087 IBL131080:IBN131087 ILH131080:ILJ131087 IVD131080:IVF131087 JEZ131080:JFB131087 JOV131080:JOX131087 JYR131080:JYT131087 KIN131080:KIP131087 KSJ131080:KSL131087 LCF131080:LCH131087 LMB131080:LMD131087 LVX131080:LVZ131087 MFT131080:MFV131087 MPP131080:MPR131087 MZL131080:MZN131087 NJH131080:NJJ131087 NTD131080:NTF131087 OCZ131080:ODB131087 OMV131080:OMX131087 OWR131080:OWT131087 PGN131080:PGP131087 PQJ131080:PQL131087 QAF131080:QAH131087 QKB131080:QKD131087 QTX131080:QTZ131087 RDT131080:RDV131087 RNP131080:RNR131087 RXL131080:RXN131087 SHH131080:SHJ131087 SRD131080:SRF131087 TAZ131080:TBB131087 TKV131080:TKX131087 TUR131080:TUT131087 UEN131080:UEP131087 UOJ131080:UOL131087 UYF131080:UYH131087 VIB131080:VID131087 VRX131080:VRZ131087 WBT131080:WBV131087 WLP131080:WLR131087 WVL131080:WVN131087 IZ196616:JB196623 SV196616:SX196623 ACR196616:ACT196623 AMN196616:AMP196623 AWJ196616:AWL196623 BGF196616:BGH196623 BQB196616:BQD196623 BZX196616:BZZ196623 CJT196616:CJV196623 CTP196616:CTR196623 DDL196616:DDN196623 DNH196616:DNJ196623 DXD196616:DXF196623 EGZ196616:EHB196623 EQV196616:EQX196623 FAR196616:FAT196623 FKN196616:FKP196623 FUJ196616:FUL196623 GEF196616:GEH196623 GOB196616:GOD196623 GXX196616:GXZ196623 HHT196616:HHV196623 HRP196616:HRR196623 IBL196616:IBN196623 ILH196616:ILJ196623 IVD196616:IVF196623 JEZ196616:JFB196623 JOV196616:JOX196623 JYR196616:JYT196623 KIN196616:KIP196623 KSJ196616:KSL196623 LCF196616:LCH196623 LMB196616:LMD196623 LVX196616:LVZ196623 MFT196616:MFV196623 MPP196616:MPR196623 MZL196616:MZN196623 NJH196616:NJJ196623 NTD196616:NTF196623 OCZ196616:ODB196623 OMV196616:OMX196623 OWR196616:OWT196623 PGN196616:PGP196623 PQJ196616:PQL196623 QAF196616:QAH196623 QKB196616:QKD196623 QTX196616:QTZ196623 RDT196616:RDV196623 RNP196616:RNR196623 RXL196616:RXN196623 SHH196616:SHJ196623 SRD196616:SRF196623 TAZ196616:TBB196623 TKV196616:TKX196623 TUR196616:TUT196623 UEN196616:UEP196623 UOJ196616:UOL196623 UYF196616:UYH196623 VIB196616:VID196623 VRX196616:VRZ196623 WBT196616:WBV196623 WLP196616:WLR196623 WVL196616:WVN196623 IZ262152:JB262159 SV262152:SX262159 ACR262152:ACT262159 AMN262152:AMP262159 AWJ262152:AWL262159 BGF262152:BGH262159 BQB262152:BQD262159 BZX262152:BZZ262159 CJT262152:CJV262159 CTP262152:CTR262159 DDL262152:DDN262159 DNH262152:DNJ262159 DXD262152:DXF262159 EGZ262152:EHB262159 EQV262152:EQX262159 FAR262152:FAT262159 FKN262152:FKP262159 FUJ262152:FUL262159 GEF262152:GEH262159 GOB262152:GOD262159 GXX262152:GXZ262159 HHT262152:HHV262159 HRP262152:HRR262159 IBL262152:IBN262159 ILH262152:ILJ262159 IVD262152:IVF262159 JEZ262152:JFB262159 JOV262152:JOX262159 JYR262152:JYT262159 KIN262152:KIP262159 KSJ262152:KSL262159 LCF262152:LCH262159 LMB262152:LMD262159 LVX262152:LVZ262159 MFT262152:MFV262159 MPP262152:MPR262159 MZL262152:MZN262159 NJH262152:NJJ262159 NTD262152:NTF262159 OCZ262152:ODB262159 OMV262152:OMX262159 OWR262152:OWT262159 PGN262152:PGP262159 PQJ262152:PQL262159 QAF262152:QAH262159 QKB262152:QKD262159 QTX262152:QTZ262159 RDT262152:RDV262159 RNP262152:RNR262159 RXL262152:RXN262159 SHH262152:SHJ262159 SRD262152:SRF262159 TAZ262152:TBB262159 TKV262152:TKX262159 TUR262152:TUT262159 UEN262152:UEP262159 UOJ262152:UOL262159 UYF262152:UYH262159 VIB262152:VID262159 VRX262152:VRZ262159 WBT262152:WBV262159 WLP262152:WLR262159 WVL262152:WVN262159 IZ327688:JB327695 SV327688:SX327695 ACR327688:ACT327695 AMN327688:AMP327695 AWJ327688:AWL327695 BGF327688:BGH327695 BQB327688:BQD327695 BZX327688:BZZ327695 CJT327688:CJV327695 CTP327688:CTR327695 DDL327688:DDN327695 DNH327688:DNJ327695 DXD327688:DXF327695 EGZ327688:EHB327695 EQV327688:EQX327695 FAR327688:FAT327695 FKN327688:FKP327695 FUJ327688:FUL327695 GEF327688:GEH327695 GOB327688:GOD327695 GXX327688:GXZ327695 HHT327688:HHV327695 HRP327688:HRR327695 IBL327688:IBN327695 ILH327688:ILJ327695 IVD327688:IVF327695 JEZ327688:JFB327695 JOV327688:JOX327695 JYR327688:JYT327695 KIN327688:KIP327695 KSJ327688:KSL327695 LCF327688:LCH327695 LMB327688:LMD327695 LVX327688:LVZ327695 MFT327688:MFV327695 MPP327688:MPR327695 MZL327688:MZN327695 NJH327688:NJJ327695 NTD327688:NTF327695 OCZ327688:ODB327695 OMV327688:OMX327695 OWR327688:OWT327695 PGN327688:PGP327695 PQJ327688:PQL327695 QAF327688:QAH327695 QKB327688:QKD327695 QTX327688:QTZ327695 RDT327688:RDV327695 RNP327688:RNR327695 RXL327688:RXN327695 SHH327688:SHJ327695 SRD327688:SRF327695 TAZ327688:TBB327695 TKV327688:TKX327695 TUR327688:TUT327695 UEN327688:UEP327695 UOJ327688:UOL327695 UYF327688:UYH327695 VIB327688:VID327695 VRX327688:VRZ327695 WBT327688:WBV327695 WLP327688:WLR327695 WVL327688:WVN327695 IZ393224:JB393231 SV393224:SX393231 ACR393224:ACT393231 AMN393224:AMP393231 AWJ393224:AWL393231 BGF393224:BGH393231 BQB393224:BQD393231 BZX393224:BZZ393231 CJT393224:CJV393231 CTP393224:CTR393231 DDL393224:DDN393231 DNH393224:DNJ393231 DXD393224:DXF393231 EGZ393224:EHB393231 EQV393224:EQX393231 FAR393224:FAT393231 FKN393224:FKP393231 FUJ393224:FUL393231 GEF393224:GEH393231 GOB393224:GOD393231 GXX393224:GXZ393231 HHT393224:HHV393231 HRP393224:HRR393231 IBL393224:IBN393231 ILH393224:ILJ393231 IVD393224:IVF393231 JEZ393224:JFB393231 JOV393224:JOX393231 JYR393224:JYT393231 KIN393224:KIP393231 KSJ393224:KSL393231 LCF393224:LCH393231 LMB393224:LMD393231 LVX393224:LVZ393231 MFT393224:MFV393231 MPP393224:MPR393231 MZL393224:MZN393231 NJH393224:NJJ393231 NTD393224:NTF393231 OCZ393224:ODB393231 OMV393224:OMX393231 OWR393224:OWT393231 PGN393224:PGP393231 PQJ393224:PQL393231 QAF393224:QAH393231 QKB393224:QKD393231 QTX393224:QTZ393231 RDT393224:RDV393231 RNP393224:RNR393231 RXL393224:RXN393231 SHH393224:SHJ393231 SRD393224:SRF393231 TAZ393224:TBB393231 TKV393224:TKX393231 TUR393224:TUT393231 UEN393224:UEP393231 UOJ393224:UOL393231 UYF393224:UYH393231 VIB393224:VID393231 VRX393224:VRZ393231 WBT393224:WBV393231 WLP393224:WLR393231 WVL393224:WVN393231 IZ458760:JB458767 SV458760:SX458767 ACR458760:ACT458767 AMN458760:AMP458767 AWJ458760:AWL458767 BGF458760:BGH458767 BQB458760:BQD458767 BZX458760:BZZ458767 CJT458760:CJV458767 CTP458760:CTR458767 DDL458760:DDN458767 DNH458760:DNJ458767 DXD458760:DXF458767 EGZ458760:EHB458767 EQV458760:EQX458767 FAR458760:FAT458767 FKN458760:FKP458767 FUJ458760:FUL458767 GEF458760:GEH458767 GOB458760:GOD458767 GXX458760:GXZ458767 HHT458760:HHV458767 HRP458760:HRR458767 IBL458760:IBN458767 ILH458760:ILJ458767 IVD458760:IVF458767 JEZ458760:JFB458767 JOV458760:JOX458767 JYR458760:JYT458767 KIN458760:KIP458767 KSJ458760:KSL458767 LCF458760:LCH458767 LMB458760:LMD458767 LVX458760:LVZ458767 MFT458760:MFV458767 MPP458760:MPR458767 MZL458760:MZN458767 NJH458760:NJJ458767 NTD458760:NTF458767 OCZ458760:ODB458767 OMV458760:OMX458767 OWR458760:OWT458767 PGN458760:PGP458767 PQJ458760:PQL458767 QAF458760:QAH458767 QKB458760:QKD458767 QTX458760:QTZ458767 RDT458760:RDV458767 RNP458760:RNR458767 RXL458760:RXN458767 SHH458760:SHJ458767 SRD458760:SRF458767 TAZ458760:TBB458767 TKV458760:TKX458767 TUR458760:TUT458767 UEN458760:UEP458767 UOJ458760:UOL458767 UYF458760:UYH458767 VIB458760:VID458767 VRX458760:VRZ458767 WBT458760:WBV458767 WLP458760:WLR458767 WVL458760:WVN458767 IZ524296:JB524303 SV524296:SX524303 ACR524296:ACT524303 AMN524296:AMP524303 AWJ524296:AWL524303 BGF524296:BGH524303 BQB524296:BQD524303 BZX524296:BZZ524303 CJT524296:CJV524303 CTP524296:CTR524303 DDL524296:DDN524303 DNH524296:DNJ524303 DXD524296:DXF524303 EGZ524296:EHB524303 EQV524296:EQX524303 FAR524296:FAT524303 FKN524296:FKP524303 FUJ524296:FUL524303 GEF524296:GEH524303 GOB524296:GOD524303 GXX524296:GXZ524303 HHT524296:HHV524303 HRP524296:HRR524303 IBL524296:IBN524303 ILH524296:ILJ524303 IVD524296:IVF524303 JEZ524296:JFB524303 JOV524296:JOX524303 JYR524296:JYT524303 KIN524296:KIP524303 KSJ524296:KSL524303 LCF524296:LCH524303 LMB524296:LMD524303 LVX524296:LVZ524303 MFT524296:MFV524303 MPP524296:MPR524303 MZL524296:MZN524303 NJH524296:NJJ524303 NTD524296:NTF524303 OCZ524296:ODB524303 OMV524296:OMX524303 OWR524296:OWT524303 PGN524296:PGP524303 PQJ524296:PQL524303 QAF524296:QAH524303 QKB524296:QKD524303 QTX524296:QTZ524303 RDT524296:RDV524303 RNP524296:RNR524303 RXL524296:RXN524303 SHH524296:SHJ524303 SRD524296:SRF524303 TAZ524296:TBB524303 TKV524296:TKX524303 TUR524296:TUT524303 UEN524296:UEP524303 UOJ524296:UOL524303 UYF524296:UYH524303 VIB524296:VID524303 VRX524296:VRZ524303 WBT524296:WBV524303 WLP524296:WLR524303 WVL524296:WVN524303 IZ589832:JB589839 SV589832:SX589839 ACR589832:ACT589839 AMN589832:AMP589839 AWJ589832:AWL589839 BGF589832:BGH589839 BQB589832:BQD589839 BZX589832:BZZ589839 CJT589832:CJV589839 CTP589832:CTR589839 DDL589832:DDN589839 DNH589832:DNJ589839 DXD589832:DXF589839 EGZ589832:EHB589839 EQV589832:EQX589839 FAR589832:FAT589839 FKN589832:FKP589839 FUJ589832:FUL589839 GEF589832:GEH589839 GOB589832:GOD589839 GXX589832:GXZ589839 HHT589832:HHV589839 HRP589832:HRR589839 IBL589832:IBN589839 ILH589832:ILJ589839 IVD589832:IVF589839 JEZ589832:JFB589839 JOV589832:JOX589839 JYR589832:JYT589839 KIN589832:KIP589839 KSJ589832:KSL589839 LCF589832:LCH589839 LMB589832:LMD589839 LVX589832:LVZ589839 MFT589832:MFV589839 MPP589832:MPR589839 MZL589832:MZN589839 NJH589832:NJJ589839 NTD589832:NTF589839 OCZ589832:ODB589839 OMV589832:OMX589839 OWR589832:OWT589839 PGN589832:PGP589839 PQJ589832:PQL589839 QAF589832:QAH589839 QKB589832:QKD589839 QTX589832:QTZ589839 RDT589832:RDV589839 RNP589832:RNR589839 RXL589832:RXN589839 SHH589832:SHJ589839 SRD589832:SRF589839 TAZ589832:TBB589839 TKV589832:TKX589839 TUR589832:TUT589839 UEN589832:UEP589839 UOJ589832:UOL589839 UYF589832:UYH589839 VIB589832:VID589839 VRX589832:VRZ589839 WBT589832:WBV589839 WLP589832:WLR589839 WVL589832:WVN589839 IZ655368:JB655375 SV655368:SX655375 ACR655368:ACT655375 AMN655368:AMP655375 AWJ655368:AWL655375 BGF655368:BGH655375 BQB655368:BQD655375 BZX655368:BZZ655375 CJT655368:CJV655375 CTP655368:CTR655375 DDL655368:DDN655375 DNH655368:DNJ655375 DXD655368:DXF655375 EGZ655368:EHB655375 EQV655368:EQX655375 FAR655368:FAT655375 FKN655368:FKP655375 FUJ655368:FUL655375 GEF655368:GEH655375 GOB655368:GOD655375 GXX655368:GXZ655375 HHT655368:HHV655375 HRP655368:HRR655375 IBL655368:IBN655375 ILH655368:ILJ655375 IVD655368:IVF655375 JEZ655368:JFB655375 JOV655368:JOX655375 JYR655368:JYT655375 KIN655368:KIP655375 KSJ655368:KSL655375 LCF655368:LCH655375 LMB655368:LMD655375 LVX655368:LVZ655375 MFT655368:MFV655375 MPP655368:MPR655375 MZL655368:MZN655375 NJH655368:NJJ655375 NTD655368:NTF655375 OCZ655368:ODB655375 OMV655368:OMX655375 OWR655368:OWT655375 PGN655368:PGP655375 PQJ655368:PQL655375 QAF655368:QAH655375 QKB655368:QKD655375 QTX655368:QTZ655375 RDT655368:RDV655375 RNP655368:RNR655375 RXL655368:RXN655375 SHH655368:SHJ655375 SRD655368:SRF655375 TAZ655368:TBB655375 TKV655368:TKX655375 TUR655368:TUT655375 UEN655368:UEP655375 UOJ655368:UOL655375 UYF655368:UYH655375 VIB655368:VID655375 VRX655368:VRZ655375 WBT655368:WBV655375 WLP655368:WLR655375 WVL655368:WVN655375 IZ720904:JB720911 SV720904:SX720911 ACR720904:ACT720911 AMN720904:AMP720911 AWJ720904:AWL720911 BGF720904:BGH720911 BQB720904:BQD720911 BZX720904:BZZ720911 CJT720904:CJV720911 CTP720904:CTR720911 DDL720904:DDN720911 DNH720904:DNJ720911 DXD720904:DXF720911 EGZ720904:EHB720911 EQV720904:EQX720911 FAR720904:FAT720911 FKN720904:FKP720911 FUJ720904:FUL720911 GEF720904:GEH720911 GOB720904:GOD720911 GXX720904:GXZ720911 HHT720904:HHV720911 HRP720904:HRR720911 IBL720904:IBN720911 ILH720904:ILJ720911 IVD720904:IVF720911 JEZ720904:JFB720911 JOV720904:JOX720911 JYR720904:JYT720911 KIN720904:KIP720911 KSJ720904:KSL720911 LCF720904:LCH720911 LMB720904:LMD720911 LVX720904:LVZ720911 MFT720904:MFV720911 MPP720904:MPR720911 MZL720904:MZN720911 NJH720904:NJJ720911 NTD720904:NTF720911 OCZ720904:ODB720911 OMV720904:OMX720911 OWR720904:OWT720911 PGN720904:PGP720911 PQJ720904:PQL720911 QAF720904:QAH720911 QKB720904:QKD720911 QTX720904:QTZ720911 RDT720904:RDV720911 RNP720904:RNR720911 RXL720904:RXN720911 SHH720904:SHJ720911 SRD720904:SRF720911 TAZ720904:TBB720911 TKV720904:TKX720911 TUR720904:TUT720911 UEN720904:UEP720911 UOJ720904:UOL720911 UYF720904:UYH720911 VIB720904:VID720911 VRX720904:VRZ720911 WBT720904:WBV720911 WLP720904:WLR720911 WVL720904:WVN720911 IZ786440:JB786447 SV786440:SX786447 ACR786440:ACT786447 AMN786440:AMP786447 AWJ786440:AWL786447 BGF786440:BGH786447 BQB786440:BQD786447 BZX786440:BZZ786447 CJT786440:CJV786447 CTP786440:CTR786447 DDL786440:DDN786447 DNH786440:DNJ786447 DXD786440:DXF786447 EGZ786440:EHB786447 EQV786440:EQX786447 FAR786440:FAT786447 FKN786440:FKP786447 FUJ786440:FUL786447 GEF786440:GEH786447 GOB786440:GOD786447 GXX786440:GXZ786447 HHT786440:HHV786447 HRP786440:HRR786447 IBL786440:IBN786447 ILH786440:ILJ786447 IVD786440:IVF786447 JEZ786440:JFB786447 JOV786440:JOX786447 JYR786440:JYT786447 KIN786440:KIP786447 KSJ786440:KSL786447 LCF786440:LCH786447 LMB786440:LMD786447 LVX786440:LVZ786447 MFT786440:MFV786447 MPP786440:MPR786447 MZL786440:MZN786447 NJH786440:NJJ786447 NTD786440:NTF786447 OCZ786440:ODB786447 OMV786440:OMX786447 OWR786440:OWT786447 PGN786440:PGP786447 PQJ786440:PQL786447 QAF786440:QAH786447 QKB786440:QKD786447 QTX786440:QTZ786447 RDT786440:RDV786447 RNP786440:RNR786447 RXL786440:RXN786447 SHH786440:SHJ786447 SRD786440:SRF786447 TAZ786440:TBB786447 TKV786440:TKX786447 TUR786440:TUT786447 UEN786440:UEP786447 UOJ786440:UOL786447 UYF786440:UYH786447 VIB786440:VID786447 VRX786440:VRZ786447 WBT786440:WBV786447 WLP786440:WLR786447 WVL786440:WVN786447 IZ851976:JB851983 SV851976:SX851983 ACR851976:ACT851983 AMN851976:AMP851983 AWJ851976:AWL851983 BGF851976:BGH851983 BQB851976:BQD851983 BZX851976:BZZ851983 CJT851976:CJV851983 CTP851976:CTR851983 DDL851976:DDN851983 DNH851976:DNJ851983 DXD851976:DXF851983 EGZ851976:EHB851983 EQV851976:EQX851983 FAR851976:FAT851983 FKN851976:FKP851983 FUJ851976:FUL851983 GEF851976:GEH851983 GOB851976:GOD851983 GXX851976:GXZ851983 HHT851976:HHV851983 HRP851976:HRR851983 IBL851976:IBN851983 ILH851976:ILJ851983 IVD851976:IVF851983 JEZ851976:JFB851983 JOV851976:JOX851983 JYR851976:JYT851983 KIN851976:KIP851983 KSJ851976:KSL851983 LCF851976:LCH851983 LMB851976:LMD851983 LVX851976:LVZ851983 MFT851976:MFV851983 MPP851976:MPR851983 MZL851976:MZN851983 NJH851976:NJJ851983 NTD851976:NTF851983 OCZ851976:ODB851983 OMV851976:OMX851983 OWR851976:OWT851983 PGN851976:PGP851983 PQJ851976:PQL851983 QAF851976:QAH851983 QKB851976:QKD851983 QTX851976:QTZ851983 RDT851976:RDV851983 RNP851976:RNR851983 RXL851976:RXN851983 SHH851976:SHJ851983 SRD851976:SRF851983 TAZ851976:TBB851983 TKV851976:TKX851983 TUR851976:TUT851983 UEN851976:UEP851983 UOJ851976:UOL851983 UYF851976:UYH851983 VIB851976:VID851983 VRX851976:VRZ851983 WBT851976:WBV851983 WLP851976:WLR851983 WVL851976:WVN851983 IZ917512:JB917519 SV917512:SX917519 ACR917512:ACT917519 AMN917512:AMP917519 AWJ917512:AWL917519 BGF917512:BGH917519 BQB917512:BQD917519 BZX917512:BZZ917519 CJT917512:CJV917519 CTP917512:CTR917519 DDL917512:DDN917519 DNH917512:DNJ917519 DXD917512:DXF917519 EGZ917512:EHB917519 EQV917512:EQX917519 FAR917512:FAT917519 FKN917512:FKP917519 FUJ917512:FUL917519 GEF917512:GEH917519 GOB917512:GOD917519 GXX917512:GXZ917519 HHT917512:HHV917519 HRP917512:HRR917519 IBL917512:IBN917519 ILH917512:ILJ917519 IVD917512:IVF917519 JEZ917512:JFB917519 JOV917512:JOX917519 JYR917512:JYT917519 KIN917512:KIP917519 KSJ917512:KSL917519 LCF917512:LCH917519 LMB917512:LMD917519 LVX917512:LVZ917519 MFT917512:MFV917519 MPP917512:MPR917519 MZL917512:MZN917519 NJH917512:NJJ917519 NTD917512:NTF917519 OCZ917512:ODB917519 OMV917512:OMX917519 OWR917512:OWT917519 PGN917512:PGP917519 PQJ917512:PQL917519 QAF917512:QAH917519 QKB917512:QKD917519 QTX917512:QTZ917519 RDT917512:RDV917519 RNP917512:RNR917519 RXL917512:RXN917519 SHH917512:SHJ917519 SRD917512:SRF917519 TAZ917512:TBB917519 TKV917512:TKX917519 TUR917512:TUT917519 UEN917512:UEP917519 UOJ917512:UOL917519 UYF917512:UYH917519 VIB917512:VID917519 VRX917512:VRZ917519 WBT917512:WBV917519 WLP917512:WLR917519 WVL917512:WVN917519 IZ983048:JB983055 SV983048:SX983055 ACR983048:ACT983055 AMN983048:AMP983055 AWJ983048:AWL983055 BGF983048:BGH983055 BQB983048:BQD983055 BZX983048:BZZ983055 CJT983048:CJV983055 CTP983048:CTR983055 DDL983048:DDN983055 DNH983048:DNJ983055 DXD983048:DXF983055 EGZ983048:EHB983055 EQV983048:EQX983055 FAR983048:FAT983055 FKN983048:FKP983055 FUJ983048:FUL983055 GEF983048:GEH983055 GOB983048:GOD983055 GXX983048:GXZ983055 HHT983048:HHV983055 HRP983048:HRR983055 IBL983048:IBN983055 ILH983048:ILJ983055 IVD983048:IVF983055 JEZ983048:JFB983055 JOV983048:JOX983055 JYR983048:JYT983055 KIN983048:KIP983055 KSJ983048:KSL983055 LCF983048:LCH983055 LMB983048:LMD983055 LVX983048:LVZ983055 MFT983048:MFV983055 MPP983048:MPR983055 MZL983048:MZN983055 NJH983048:NJJ983055 NTD983048:NTF983055 OCZ983048:ODB983055 OMV983048:OMX983055 OWR983048:OWT983055 PGN983048:PGP983055 PQJ983048:PQL983055 QAF983048:QAH983055 QKB983048:QKD983055 QTX983048:QTZ983055 RDT983048:RDV983055 RNP983048:RNR983055 RXL983048:RXN983055 SHH983048:SHJ983055 SRD983048:SRF983055 TAZ983048:TBB983055 TKV983048:TKX983055 TUR983048:TUT983055 UEN983048:UEP983055 UOJ983048:UOL983055 UYF983048:UYH983055 VIB983048:VID983055 VRX983048:VRZ983055 WBT983048:WBV983055 WLP983048:WLR983055 WVL983048:WVN983055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6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2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8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4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0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6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2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8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4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0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6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2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8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4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0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D983047:F983054 D917511:F917518 D851975:F851982 D786439:F786446 D720903:F720910 D655367:F655374 D589831:F589838 D524295:F524302 D458759:F458766 D393223:F393230 D327687:F327694 D262151:F262158 D196615:F196622 D131079:F131086 D5:F12" xr:uid="{00000000-0002-0000-0000-000001000000}">
      <formula1>0</formula1>
    </dataValidation>
    <dataValidation type="list" allowBlank="1" showInputMessage="1" showErrorMessage="1" sqref="C18" xr:uid="{00000000-0002-0000-0000-000002000000}">
      <formula1>"給与,年金(65歳以上),年金(65歳未満),その他"</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リセット">
                <anchor moveWithCells="1" sizeWithCells="1">
                  <from>
                    <xdr:col>5</xdr:col>
                    <xdr:colOff>1247775</xdr:colOff>
                    <xdr:row>0</xdr:row>
                    <xdr:rowOff>85725</xdr:rowOff>
                  </from>
                  <to>
                    <xdr:col>7</xdr:col>
                    <xdr:colOff>1095375</xdr:colOff>
                    <xdr:row>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B1:M24"/>
  <sheetViews>
    <sheetView zoomScale="80" zoomScaleNormal="80" workbookViewId="0">
      <selection activeCell="N17" sqref="N17"/>
    </sheetView>
  </sheetViews>
  <sheetFormatPr defaultColWidth="9" defaultRowHeight="19.5" x14ac:dyDescent="0.15"/>
  <cols>
    <col min="1" max="1" width="6.375" style="5" customWidth="1"/>
    <col min="2" max="2" width="14.625" style="5" customWidth="1"/>
    <col min="3" max="3" width="3.75" style="5" bestFit="1" customWidth="1"/>
    <col min="4" max="4" width="14.25" style="5" bestFit="1" customWidth="1"/>
    <col min="5" max="5" width="3.75" style="5" bestFit="1" customWidth="1"/>
    <col min="6" max="6" width="20.375" style="5" customWidth="1"/>
    <col min="7" max="7" width="3.75" style="5" bestFit="1" customWidth="1"/>
    <col min="8" max="8" width="51.875" style="5" bestFit="1" customWidth="1"/>
    <col min="9" max="9" width="9" style="5"/>
    <col min="10" max="10" width="9" style="121"/>
    <col min="11" max="11" width="9" style="119"/>
    <col min="12" max="13" width="9" style="121"/>
    <col min="14" max="16384" width="9" style="5"/>
  </cols>
  <sheetData>
    <row r="1" spans="2:8" ht="20.25" thickBot="1" x14ac:dyDescent="0.2"/>
    <row r="2" spans="2:8" ht="30" customHeight="1" thickBot="1" x14ac:dyDescent="0.2">
      <c r="B2" s="199" t="s">
        <v>0</v>
      </c>
      <c r="C2" s="200"/>
      <c r="D2" s="200"/>
      <c r="E2" s="201"/>
      <c r="F2" s="1"/>
      <c r="G2" s="6" t="s">
        <v>1</v>
      </c>
      <c r="H2" s="5" t="s">
        <v>3</v>
      </c>
    </row>
    <row r="3" spans="2:8" ht="30" customHeight="1" thickBot="1" x14ac:dyDescent="0.2">
      <c r="B3" s="199" t="s">
        <v>97</v>
      </c>
      <c r="C3" s="200"/>
      <c r="D3" s="200"/>
      <c r="E3" s="201"/>
      <c r="F3" s="158">
        <f>IFERROR(SUM(F14:F23,H11),"")</f>
        <v>0</v>
      </c>
      <c r="G3" s="6" t="s">
        <v>94</v>
      </c>
    </row>
    <row r="4" spans="2:8" ht="22.5" customHeight="1" x14ac:dyDescent="0.15"/>
    <row r="5" spans="2:8" ht="20.25" thickBot="1" x14ac:dyDescent="0.2">
      <c r="B5" s="5" t="s">
        <v>95</v>
      </c>
    </row>
    <row r="6" spans="2:8" x14ac:dyDescent="0.15">
      <c r="B6" s="202" t="s">
        <v>96</v>
      </c>
      <c r="C6" s="203"/>
      <c r="D6" s="203"/>
      <c r="E6" s="203"/>
      <c r="F6" s="188" t="s">
        <v>130</v>
      </c>
      <c r="G6" s="189"/>
      <c r="H6" s="179" t="s">
        <v>87</v>
      </c>
    </row>
    <row r="7" spans="2:8" x14ac:dyDescent="0.15">
      <c r="B7" s="204" t="s">
        <v>84</v>
      </c>
      <c r="C7" s="205"/>
      <c r="D7" s="205"/>
      <c r="E7" s="205"/>
      <c r="F7" s="190" t="s">
        <v>128</v>
      </c>
      <c r="G7" s="191"/>
      <c r="H7" s="180"/>
    </row>
    <row r="8" spans="2:8" x14ac:dyDescent="0.15">
      <c r="B8" s="184" t="s">
        <v>85</v>
      </c>
      <c r="C8" s="185"/>
      <c r="D8" s="185"/>
      <c r="E8" s="185"/>
      <c r="F8" s="190" t="s">
        <v>128</v>
      </c>
      <c r="G8" s="191"/>
      <c r="H8" s="180"/>
    </row>
    <row r="9" spans="2:8" ht="20.25" thickBot="1" x14ac:dyDescent="0.2">
      <c r="B9" s="186" t="s">
        <v>86</v>
      </c>
      <c r="C9" s="187"/>
      <c r="D9" s="187"/>
      <c r="E9" s="187"/>
      <c r="F9" s="192" t="s">
        <v>128</v>
      </c>
      <c r="G9" s="193"/>
      <c r="H9" s="180"/>
    </row>
    <row r="10" spans="2:8" ht="21" thickTop="1" thickBot="1" x14ac:dyDescent="0.2">
      <c r="B10" s="206" t="s">
        <v>83</v>
      </c>
      <c r="C10" s="207"/>
      <c r="D10" s="207"/>
      <c r="E10" s="207"/>
      <c r="F10" s="182" t="str">
        <f>IF(F2&lt;8500000,"非該当",IF(AND(F6="",F7="",F8="",F9=""),"",IF(AND(F6="非該当",F7="なし",F8="なし",F9="なし"),"非該当",IF(F2&gt;10000000,150000,(F2-8500000)*0.1))))</f>
        <v>非該当</v>
      </c>
      <c r="G10" s="183"/>
      <c r="H10" s="181"/>
    </row>
    <row r="11" spans="2:8" ht="20.25" thickBot="1" x14ac:dyDescent="0.2">
      <c r="B11" s="194" t="s">
        <v>88</v>
      </c>
      <c r="C11" s="195"/>
      <c r="D11" s="195"/>
      <c r="E11" s="195"/>
      <c r="F11" s="195"/>
      <c r="G11" s="196"/>
      <c r="H11" s="153" t="str">
        <f>IFERROR(IF(F10="非該当",$F$24,IF(F10="非該当","",F24-F10)),"")</f>
        <v/>
      </c>
    </row>
    <row r="12" spans="2:8" ht="20.25" thickBot="1" x14ac:dyDescent="0.2"/>
    <row r="13" spans="2:8" ht="30" customHeight="1" x14ac:dyDescent="0.15">
      <c r="B13" s="197" t="s">
        <v>4</v>
      </c>
      <c r="C13" s="198"/>
      <c r="D13" s="198"/>
      <c r="E13" s="198"/>
      <c r="F13" s="197" t="s">
        <v>5</v>
      </c>
      <c r="G13" s="198"/>
      <c r="H13" s="18" t="s">
        <v>6</v>
      </c>
    </row>
    <row r="14" spans="2:8" ht="30" customHeight="1" x14ac:dyDescent="0.15">
      <c r="B14" s="3"/>
      <c r="C14" s="7" t="s">
        <v>2</v>
      </c>
      <c r="D14" s="8">
        <v>550999</v>
      </c>
      <c r="E14" s="8" t="s">
        <v>1</v>
      </c>
      <c r="F14" s="2" t="str">
        <f>IF(AND(F2&lt;=D14,F2&lt;&gt;""),0,"")</f>
        <v/>
      </c>
      <c r="G14" s="9" t="s">
        <v>1</v>
      </c>
      <c r="H14" s="10" t="s">
        <v>7</v>
      </c>
    </row>
    <row r="15" spans="2:8" ht="30" customHeight="1" x14ac:dyDescent="0.15">
      <c r="B15" s="2">
        <v>551000</v>
      </c>
      <c r="C15" s="11" t="s">
        <v>2</v>
      </c>
      <c r="D15" s="12">
        <v>1618999</v>
      </c>
      <c r="E15" s="12" t="s">
        <v>1</v>
      </c>
      <c r="F15" s="3" t="str">
        <f>IF(AND($F$2&lt;=D15,$F$2&gt;=B15),F2-550000,"")</f>
        <v/>
      </c>
      <c r="G15" s="13" t="s">
        <v>1</v>
      </c>
      <c r="H15" s="10" t="s">
        <v>73</v>
      </c>
    </row>
    <row r="16" spans="2:8" ht="30" customHeight="1" x14ac:dyDescent="0.15">
      <c r="B16" s="3">
        <v>1619000</v>
      </c>
      <c r="C16" s="7" t="s">
        <v>2</v>
      </c>
      <c r="D16" s="8">
        <v>1619999</v>
      </c>
      <c r="E16" s="8" t="s">
        <v>1</v>
      </c>
      <c r="F16" s="2" t="str">
        <f>IF(AND($F$2&lt;=D16,$F$2&gt;=B16),1069000,"")</f>
        <v/>
      </c>
      <c r="G16" s="9" t="s">
        <v>1</v>
      </c>
      <c r="H16" s="10" t="s">
        <v>74</v>
      </c>
    </row>
    <row r="17" spans="2:8" ht="30" customHeight="1" x14ac:dyDescent="0.15">
      <c r="B17" s="2">
        <v>1620000</v>
      </c>
      <c r="C17" s="11" t="s">
        <v>2</v>
      </c>
      <c r="D17" s="12">
        <v>1621999</v>
      </c>
      <c r="E17" s="12" t="s">
        <v>1</v>
      </c>
      <c r="F17" s="3" t="str">
        <f>IF(AND($F$2&lt;=D17,$F$2&gt;=B17),1070000,"")</f>
        <v/>
      </c>
      <c r="G17" s="13" t="s">
        <v>1</v>
      </c>
      <c r="H17" s="10" t="s">
        <v>75</v>
      </c>
    </row>
    <row r="18" spans="2:8" ht="30" customHeight="1" x14ac:dyDescent="0.15">
      <c r="B18" s="3">
        <v>1622000</v>
      </c>
      <c r="C18" s="7" t="s">
        <v>2</v>
      </c>
      <c r="D18" s="8">
        <v>1623999</v>
      </c>
      <c r="E18" s="8" t="s">
        <v>1</v>
      </c>
      <c r="F18" s="2" t="str">
        <f>IF(AND($F$2&lt;=D18,$F$2&gt;=B18),1072000,"")</f>
        <v/>
      </c>
      <c r="G18" s="9" t="s">
        <v>1</v>
      </c>
      <c r="H18" s="10" t="s">
        <v>76</v>
      </c>
    </row>
    <row r="19" spans="2:8" ht="30" customHeight="1" x14ac:dyDescent="0.15">
      <c r="B19" s="2">
        <v>1624000</v>
      </c>
      <c r="C19" s="11" t="s">
        <v>2</v>
      </c>
      <c r="D19" s="12">
        <v>1627999</v>
      </c>
      <c r="E19" s="12" t="s">
        <v>1</v>
      </c>
      <c r="F19" s="3" t="str">
        <f>IF(AND($F$2&lt;=D19,$F$2&gt;=B19),1074000,"")</f>
        <v/>
      </c>
      <c r="G19" s="13" t="s">
        <v>1</v>
      </c>
      <c r="H19" s="10" t="s">
        <v>77</v>
      </c>
    </row>
    <row r="20" spans="2:8" ht="30" customHeight="1" x14ac:dyDescent="0.15">
      <c r="B20" s="3">
        <v>1628000</v>
      </c>
      <c r="C20" s="7" t="s">
        <v>2</v>
      </c>
      <c r="D20" s="8">
        <v>1799999</v>
      </c>
      <c r="E20" s="8" t="s">
        <v>1</v>
      </c>
      <c r="F20" s="2" t="str">
        <f>IF(AND($F$2&lt;=D20,$F$2&gt;=B20),(ROUNDDOWN(F2/4,-3)*2.4)+100000,"")</f>
        <v/>
      </c>
      <c r="G20" s="9" t="s">
        <v>1</v>
      </c>
      <c r="H20" s="10" t="s">
        <v>78</v>
      </c>
    </row>
    <row r="21" spans="2:8" ht="30" customHeight="1" x14ac:dyDescent="0.15">
      <c r="B21" s="2">
        <v>1800000</v>
      </c>
      <c r="C21" s="11" t="s">
        <v>2</v>
      </c>
      <c r="D21" s="12">
        <v>3599999</v>
      </c>
      <c r="E21" s="12" t="s">
        <v>1</v>
      </c>
      <c r="F21" s="3" t="str">
        <f>IF(AND($F$2&lt;=D21,$F$2&gt;=B21),(ROUNDDOWN(F2/4,-3)*2.8)-80000,"")</f>
        <v/>
      </c>
      <c r="G21" s="13" t="s">
        <v>1</v>
      </c>
      <c r="H21" s="10" t="s">
        <v>79</v>
      </c>
    </row>
    <row r="22" spans="2:8" ht="30" customHeight="1" x14ac:dyDescent="0.15">
      <c r="B22" s="3">
        <v>3600000</v>
      </c>
      <c r="C22" s="7" t="s">
        <v>2</v>
      </c>
      <c r="D22" s="8">
        <v>6599999</v>
      </c>
      <c r="E22" s="8" t="s">
        <v>1</v>
      </c>
      <c r="F22" s="2" t="str">
        <f>IF(AND($F$2&lt;=D22,$F$2&gt;=B22),(ROUNDDOWN(F2/4,-3)*3.2)-440000,"")</f>
        <v/>
      </c>
      <c r="G22" s="9" t="s">
        <v>1</v>
      </c>
      <c r="H22" s="10" t="s">
        <v>80</v>
      </c>
    </row>
    <row r="23" spans="2:8" ht="30" customHeight="1" x14ac:dyDescent="0.15">
      <c r="B23" s="2">
        <v>6600000</v>
      </c>
      <c r="C23" s="11" t="s">
        <v>2</v>
      </c>
      <c r="D23" s="12">
        <v>8499999</v>
      </c>
      <c r="E23" s="12" t="s">
        <v>1</v>
      </c>
      <c r="F23" s="3" t="str">
        <f>IF(AND($F$2&gt;=B23,$F$2&lt;=D23),(F2*0.9)-1100000,"")</f>
        <v/>
      </c>
      <c r="G23" s="13" t="s">
        <v>1</v>
      </c>
      <c r="H23" s="10" t="s">
        <v>81</v>
      </c>
    </row>
    <row r="24" spans="2:8" ht="30" customHeight="1" thickBot="1" x14ac:dyDescent="0.2">
      <c r="B24" s="4">
        <v>8500000</v>
      </c>
      <c r="C24" s="15" t="s">
        <v>2</v>
      </c>
      <c r="D24" s="14"/>
      <c r="E24" s="14"/>
      <c r="F24" s="120" t="str">
        <f>IF($F$2&gt;=B24,F2-1950000,"")</f>
        <v/>
      </c>
      <c r="G24" s="16" t="s">
        <v>1</v>
      </c>
      <c r="H24" s="17" t="s">
        <v>82</v>
      </c>
    </row>
  </sheetData>
  <sheetProtection selectLockedCells="1"/>
  <mergeCells count="16">
    <mergeCell ref="B11:G11"/>
    <mergeCell ref="F13:G13"/>
    <mergeCell ref="B2:E2"/>
    <mergeCell ref="B13:E13"/>
    <mergeCell ref="B6:E6"/>
    <mergeCell ref="B7:E7"/>
    <mergeCell ref="B10:E10"/>
    <mergeCell ref="B3:E3"/>
    <mergeCell ref="H6:H10"/>
    <mergeCell ref="F10:G10"/>
    <mergeCell ref="B8:E8"/>
    <mergeCell ref="B9:E9"/>
    <mergeCell ref="F6:G6"/>
    <mergeCell ref="F7:G7"/>
    <mergeCell ref="F8:G8"/>
    <mergeCell ref="F9:G9"/>
  </mergeCells>
  <phoneticPr fontId="1"/>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7:G9" xr:uid="{00000000-0002-0000-0100-000000000000}">
      <formula1>"なし,あり"</formula1>
    </dataValidation>
    <dataValidation type="list" allowBlank="1" showInputMessage="1" showErrorMessage="1" sqref="F6:G6" xr:uid="{00000000-0002-0000-0100-000001000000}">
      <formula1>"非該当,該当"</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B1:N23"/>
  <sheetViews>
    <sheetView zoomScale="85" zoomScaleNormal="85" workbookViewId="0">
      <selection activeCell="K4" sqref="K4"/>
    </sheetView>
  </sheetViews>
  <sheetFormatPr defaultColWidth="9" defaultRowHeight="13.5" x14ac:dyDescent="0.15"/>
  <cols>
    <col min="1" max="1" width="9" style="31"/>
    <col min="2" max="2" width="16.375" style="31" bestFit="1" customWidth="1"/>
    <col min="3" max="3" width="3.75" style="31" bestFit="1" customWidth="1"/>
    <col min="4" max="4" width="14.875" style="31" bestFit="1" customWidth="1"/>
    <col min="5" max="5" width="3.75" style="31" bestFit="1" customWidth="1"/>
    <col min="6" max="6" width="25.625" style="31" customWidth="1"/>
    <col min="7" max="7" width="3.75" style="31" bestFit="1" customWidth="1"/>
    <col min="8" max="8" width="28.375" style="31" customWidth="1"/>
    <col min="9" max="9" width="26.875" style="31" customWidth="1"/>
    <col min="10" max="10" width="4" style="31" customWidth="1"/>
    <col min="11" max="11" width="27.375" style="31" customWidth="1"/>
    <col min="12" max="12" width="23.875" style="31" customWidth="1"/>
    <col min="13" max="13" width="4.25" style="31" bestFit="1" customWidth="1"/>
    <col min="14" max="14" width="28.375" style="31" customWidth="1"/>
    <col min="15" max="16384" width="9" style="31"/>
  </cols>
  <sheetData>
    <row r="1" spans="2:14" s="19" customFormat="1" ht="20.25" thickBot="1" x14ac:dyDescent="0.2"/>
    <row r="2" spans="2:14" s="19" customFormat="1" ht="30" customHeight="1" thickBot="1" x14ac:dyDescent="0.2">
      <c r="B2" s="224" t="s">
        <v>8</v>
      </c>
      <c r="C2" s="225"/>
      <c r="D2" s="225"/>
      <c r="E2" s="226"/>
      <c r="F2" s="1"/>
      <c r="G2" s="20" t="s">
        <v>1</v>
      </c>
      <c r="H2" s="19" t="s">
        <v>3</v>
      </c>
    </row>
    <row r="3" spans="2:14" s="19" customFormat="1" ht="30" customHeight="1" thickBot="1" x14ac:dyDescent="0.2">
      <c r="B3" s="224" t="s">
        <v>12</v>
      </c>
      <c r="C3" s="225"/>
      <c r="D3" s="225"/>
      <c r="E3" s="226"/>
      <c r="F3" s="1"/>
      <c r="G3" s="20" t="s">
        <v>11</v>
      </c>
    </row>
    <row r="4" spans="2:14" s="19" customFormat="1" ht="30" customHeight="1" thickBot="1" x14ac:dyDescent="0.5">
      <c r="B4" s="224" t="s">
        <v>123</v>
      </c>
      <c r="C4" s="225"/>
      <c r="D4" s="225"/>
      <c r="E4" s="226"/>
      <c r="F4" s="156" ph="1"/>
      <c r="G4" s="20" t="s">
        <v>122</v>
      </c>
    </row>
    <row r="5" spans="2:14" s="19" customFormat="1" ht="30" customHeight="1" thickBot="1" x14ac:dyDescent="0.2">
      <c r="B5" s="224" t="s">
        <v>127</v>
      </c>
      <c r="C5" s="225"/>
      <c r="D5" s="225"/>
      <c r="E5" s="226"/>
      <c r="F5" s="154">
        <f>SUM(F10:F14,I10:I14,L10:L14,F19:F23,I19:I23,L19:L23)</f>
        <v>0</v>
      </c>
      <c r="G5" s="20" t="s">
        <v>126</v>
      </c>
    </row>
    <row r="6" spans="2:14" s="19" customFormat="1" ht="13.5" customHeight="1" x14ac:dyDescent="0.15"/>
    <row r="7" spans="2:14" s="19" customFormat="1" ht="23.25" customHeight="1" thickBot="1" x14ac:dyDescent="0.2">
      <c r="B7" s="19" t="s">
        <v>98</v>
      </c>
    </row>
    <row r="8" spans="2:14" s="19" customFormat="1" ht="30" customHeight="1" x14ac:dyDescent="0.15">
      <c r="B8" s="208" t="s">
        <v>4</v>
      </c>
      <c r="C8" s="209"/>
      <c r="D8" s="209"/>
      <c r="E8" s="210"/>
      <c r="F8" s="214" t="s">
        <v>111</v>
      </c>
      <c r="G8" s="215"/>
      <c r="H8" s="216"/>
      <c r="I8" s="217" t="s">
        <v>112</v>
      </c>
      <c r="J8" s="218"/>
      <c r="K8" s="219"/>
      <c r="L8" s="217" t="s">
        <v>113</v>
      </c>
      <c r="M8" s="218"/>
      <c r="N8" s="219"/>
    </row>
    <row r="9" spans="2:14" s="19" customFormat="1" ht="30" customHeight="1" x14ac:dyDescent="0.15">
      <c r="B9" s="211"/>
      <c r="C9" s="212"/>
      <c r="D9" s="212"/>
      <c r="E9" s="213"/>
      <c r="F9" s="220" t="s">
        <v>9</v>
      </c>
      <c r="G9" s="221"/>
      <c r="H9" s="122" t="s">
        <v>6</v>
      </c>
      <c r="I9" s="222" t="s">
        <v>9</v>
      </c>
      <c r="J9" s="223"/>
      <c r="K9" s="123" t="s">
        <v>6</v>
      </c>
      <c r="L9" s="222" t="s">
        <v>9</v>
      </c>
      <c r="M9" s="223"/>
      <c r="N9" s="123" t="s">
        <v>6</v>
      </c>
    </row>
    <row r="10" spans="2:14" s="19" customFormat="1" ht="30" customHeight="1" x14ac:dyDescent="0.15">
      <c r="B10" s="24"/>
      <c r="C10" s="26" t="s">
        <v>2</v>
      </c>
      <c r="D10" s="27">
        <v>1299999</v>
      </c>
      <c r="E10" s="124" t="s">
        <v>1</v>
      </c>
      <c r="F10" s="21" t="str">
        <f>IF(F4="1000万円以下",IF(AND($F$3&lt;65,$F$3&gt;60,$F$2&lt;=$D$10,$F$2&gt;600000),$F$2-600000,IF(AND($F$3&lt;65,$F$3&gt;60,$F$2&lt;=600000),0,"")),"")</f>
        <v/>
      </c>
      <c r="G10" s="125" t="s">
        <v>1</v>
      </c>
      <c r="H10" s="126" t="s">
        <v>89</v>
      </c>
      <c r="I10" s="21" t="str">
        <f>IF(F4="1000～2000万円",IF(AND($F$3&lt;65,$F$3&gt;60,$F$2&lt;=$D$10,$F$2&gt;500000),$F$2-500000,IF(AND($F$3&lt;65,$F$3&gt;60,$F$2&lt;=500000),0,"")),"")</f>
        <v/>
      </c>
      <c r="J10" s="125" t="s">
        <v>1</v>
      </c>
      <c r="K10" s="126" t="s">
        <v>99</v>
      </c>
      <c r="L10" s="21" t="str">
        <f>IF(F4="2000万円以上",IF(AND($F$3&lt;65,$F$3&gt;60,$F$2&lt;=$D$10,$F$2&gt;400000),$F$2-400000,IF(AND($F$3&lt;65,$F$3&gt;60,$F$2&lt;=400000),0,"")),"")</f>
        <v/>
      </c>
      <c r="M10" s="125" t="s">
        <v>1</v>
      </c>
      <c r="N10" s="126" t="s">
        <v>105</v>
      </c>
    </row>
    <row r="11" spans="2:14" s="19" customFormat="1" ht="30" customHeight="1" x14ac:dyDescent="0.15">
      <c r="B11" s="21">
        <v>1300000</v>
      </c>
      <c r="C11" s="22" t="s">
        <v>2</v>
      </c>
      <c r="D11" s="23">
        <v>4099999</v>
      </c>
      <c r="E11" s="127" t="s">
        <v>1</v>
      </c>
      <c r="F11" s="24" t="str">
        <f>IF(F4="1000万円以下",IF(AND($F$3&lt;65,$F$3&gt;60,$F$2&lt;=$D$11,$F$2&gt;=$B$11),($F$2*0.75)-275000,""),"")</f>
        <v/>
      </c>
      <c r="G11" s="125" t="s">
        <v>1</v>
      </c>
      <c r="H11" s="126" t="s">
        <v>90</v>
      </c>
      <c r="I11" s="24" t="str">
        <f>IF(F4="1000～2000万円",IF(AND($F$3&lt;65,$F$3&gt;60,$F$2&lt;=$D$11,$F$2&gt;=$B$11),($F$2*0.75)-175000,""),"")</f>
        <v/>
      </c>
      <c r="J11" s="125" t="s">
        <v>1</v>
      </c>
      <c r="K11" s="126" t="s">
        <v>100</v>
      </c>
      <c r="L11" s="24" t="str">
        <f>IF(F4="2000万円以上",IF(AND($F$3&lt;65,$F$3&gt;60,$F$2&lt;=$D$11,$F$2&gt;=$B$11),($F$2*0.75)-75000,""),"")</f>
        <v/>
      </c>
      <c r="M11" s="125" t="s">
        <v>1</v>
      </c>
      <c r="N11" s="126" t="s">
        <v>106</v>
      </c>
    </row>
    <row r="12" spans="2:14" s="19" customFormat="1" ht="30" customHeight="1" x14ac:dyDescent="0.15">
      <c r="B12" s="24">
        <v>4100000</v>
      </c>
      <c r="C12" s="26" t="s">
        <v>2</v>
      </c>
      <c r="D12" s="27">
        <v>7699999</v>
      </c>
      <c r="E12" s="124" t="s">
        <v>1</v>
      </c>
      <c r="F12" s="24" t="str">
        <f>IF(F4="1000万円以下",IF(AND($F$3&lt;65,$F$3&gt;60,$F$2&lt;=$D$12,$F$2&gt;=$B$12),($F$2*0.85)-685000,""),"")</f>
        <v/>
      </c>
      <c r="G12" s="125" t="s">
        <v>1</v>
      </c>
      <c r="H12" s="126" t="s">
        <v>91</v>
      </c>
      <c r="I12" s="24" t="str">
        <f>IF(F4="1000～2000万円",IF(AND($F$3&lt;65,$F$3&gt;60,$F$2&lt;=$D$12,$F$2&gt;=$B$12),($F$2*0.85)-585000,""),"")</f>
        <v/>
      </c>
      <c r="J12" s="125" t="s">
        <v>1</v>
      </c>
      <c r="K12" s="126" t="s">
        <v>101</v>
      </c>
      <c r="L12" s="24" t="str">
        <f>IF(F4="2000万円以上",IF(AND($F$3&lt;65,$F$3&gt;60,$F$2&lt;=$D$12,$F$2&gt;=$B$12),($F$2*0.85)-485000,""),"")</f>
        <v/>
      </c>
      <c r="M12" s="125" t="s">
        <v>1</v>
      </c>
      <c r="N12" s="126" t="s">
        <v>107</v>
      </c>
    </row>
    <row r="13" spans="2:14" s="19" customFormat="1" ht="30" customHeight="1" x14ac:dyDescent="0.15">
      <c r="B13" s="21">
        <v>7700000</v>
      </c>
      <c r="C13" s="22" t="s">
        <v>2</v>
      </c>
      <c r="D13" s="23">
        <v>9999999</v>
      </c>
      <c r="E13" s="127" t="s">
        <v>1</v>
      </c>
      <c r="F13" s="128" t="str">
        <f>IF(F4="1000万円以下",IF(AND($F$3&lt;65,$F$3&gt;60,$F$2&gt;=$B$13,$F$2&lt;=$D$13),($F$2*0.95)-1455000,""),"")</f>
        <v/>
      </c>
      <c r="G13" s="129" t="s">
        <v>1</v>
      </c>
      <c r="H13" s="130" t="s">
        <v>92</v>
      </c>
      <c r="I13" s="128" t="str">
        <f>IF(F4="1000～2000万円",IF(AND($F$3&lt;65,$F$3&gt;60,$F$2&lt;=$D$13,$F$2&gt;=$B$13),($F$2*0.95)-1355000,""),"")</f>
        <v/>
      </c>
      <c r="J13" s="129" t="s">
        <v>1</v>
      </c>
      <c r="K13" s="130" t="s">
        <v>102</v>
      </c>
      <c r="L13" s="128" t="str">
        <f>IF(F4="2000万円以上",IF(AND($F$3&lt;65,$F$3&gt;60,$F$2&gt;=$B$13,$F$2&lt;=$D$13),($F$2*0.95)-1255000,""),"")</f>
        <v/>
      </c>
      <c r="M13" s="129" t="s">
        <v>1</v>
      </c>
      <c r="N13" s="130" t="s">
        <v>108</v>
      </c>
    </row>
    <row r="14" spans="2:14" s="19" customFormat="1" ht="30" customHeight="1" thickBot="1" x14ac:dyDescent="0.2">
      <c r="B14" s="29">
        <v>10000000</v>
      </c>
      <c r="C14" s="131" t="s">
        <v>2</v>
      </c>
      <c r="D14" s="132"/>
      <c r="E14" s="133"/>
      <c r="F14" s="29" t="str">
        <f>IF(F4="1000万円以下",IF(AND($F$3&lt;65,$F$3&gt;60,$F$2&gt;=$B$14),$F$2-1955000,""),"")</f>
        <v/>
      </c>
      <c r="G14" s="134" t="s">
        <v>1</v>
      </c>
      <c r="H14" s="135" t="s">
        <v>93</v>
      </c>
      <c r="I14" s="29" t="str">
        <f>IF(F4="1000～2000万円",IF(AND($F$3&lt;65,$F$2&gt;=$B$14),$F$2-1855000,""),"")</f>
        <v/>
      </c>
      <c r="J14" s="134" t="s">
        <v>1</v>
      </c>
      <c r="K14" s="135" t="s">
        <v>103</v>
      </c>
      <c r="L14" s="29" t="str">
        <f>IF(F4="2000万円以上",IF(AND($F$3&lt;65,$F$3&gt;60,$F$2&gt;=$B$14),$F$2-1755000,""),"")</f>
        <v/>
      </c>
      <c r="M14" s="134" t="s">
        <v>1</v>
      </c>
      <c r="N14" s="135" t="s">
        <v>109</v>
      </c>
    </row>
    <row r="15" spans="2:14" s="19" customFormat="1" ht="15" customHeight="1" x14ac:dyDescent="0.15"/>
    <row r="16" spans="2:14" s="19" customFormat="1" ht="21" customHeight="1" thickBot="1" x14ac:dyDescent="0.2">
      <c r="B16" s="19" t="s">
        <v>10</v>
      </c>
    </row>
    <row r="17" spans="2:14" s="19" customFormat="1" ht="30" customHeight="1" x14ac:dyDescent="0.15">
      <c r="B17" s="208" t="s">
        <v>4</v>
      </c>
      <c r="C17" s="209"/>
      <c r="D17" s="209"/>
      <c r="E17" s="210"/>
      <c r="F17" s="214" t="s">
        <v>111</v>
      </c>
      <c r="G17" s="215"/>
      <c r="H17" s="216"/>
      <c r="I17" s="217" t="s">
        <v>112</v>
      </c>
      <c r="J17" s="218"/>
      <c r="K17" s="219"/>
      <c r="L17" s="217" t="s">
        <v>113</v>
      </c>
      <c r="M17" s="218"/>
      <c r="N17" s="219"/>
    </row>
    <row r="18" spans="2:14" s="19" customFormat="1" ht="30" customHeight="1" x14ac:dyDescent="0.15">
      <c r="B18" s="211"/>
      <c r="C18" s="212"/>
      <c r="D18" s="212"/>
      <c r="E18" s="213"/>
      <c r="F18" s="220" t="s">
        <v>9</v>
      </c>
      <c r="G18" s="221"/>
      <c r="H18" s="122" t="s">
        <v>6</v>
      </c>
      <c r="I18" s="222" t="s">
        <v>9</v>
      </c>
      <c r="J18" s="223"/>
      <c r="K18" s="123" t="s">
        <v>6</v>
      </c>
      <c r="L18" s="222" t="s">
        <v>9</v>
      </c>
      <c r="M18" s="223"/>
      <c r="N18" s="123" t="s">
        <v>6</v>
      </c>
    </row>
    <row r="19" spans="2:14" s="19" customFormat="1" ht="30" customHeight="1" x14ac:dyDescent="0.15">
      <c r="B19" s="24"/>
      <c r="C19" s="26" t="s">
        <v>2</v>
      </c>
      <c r="D19" s="27">
        <v>3299999</v>
      </c>
      <c r="E19" s="124" t="s">
        <v>1</v>
      </c>
      <c r="F19" s="21" t="str">
        <f>IF(F4="1000万円以下",IF(AND($F$3&gt;=65,$F$2&lt;=$D$19,$F$2&gt;1100000),$F$2-1100000,IF(AND($F$3&gt;=65,$F$2&lt;=1100000),0,"")),"")</f>
        <v/>
      </c>
      <c r="G19" s="28" t="s">
        <v>1</v>
      </c>
      <c r="H19" s="126" t="s">
        <v>114</v>
      </c>
      <c r="I19" s="21" t="str">
        <f>IF(F4="1000～2000万円",IF(AND($F$3&gt;=65,$F$2&lt;=$D$19,$F$2&gt;1000000),$F$2-1000000,IF(AND($F$3&gt;=65,$F$2&lt;=1000000),0,"")),"")</f>
        <v/>
      </c>
      <c r="J19" s="28" t="s">
        <v>1</v>
      </c>
      <c r="K19" s="126" t="s">
        <v>104</v>
      </c>
      <c r="L19" s="21" t="str">
        <f>IF(F4="2000万円以上",IF(AND($F$3&gt;=65,$F$2&lt;=$D$19,$F$2&gt;900000),$F$2-900000,IF(AND($F$3&gt;=65,$F$2&lt;=900000),0,"")),"")</f>
        <v/>
      </c>
      <c r="M19" s="28" t="s">
        <v>1</v>
      </c>
      <c r="N19" s="126" t="s">
        <v>110</v>
      </c>
    </row>
    <row r="20" spans="2:14" s="19" customFormat="1" ht="30" customHeight="1" x14ac:dyDescent="0.15">
      <c r="B20" s="21">
        <v>3300000</v>
      </c>
      <c r="C20" s="22" t="s">
        <v>2</v>
      </c>
      <c r="D20" s="23">
        <v>4099999</v>
      </c>
      <c r="E20" s="127" t="s">
        <v>1</v>
      </c>
      <c r="F20" s="24" t="str">
        <f>IF(F4="1000万円以下",IF(AND($F$3&gt;=65,$F$2&lt;=$D$20,$F$2&gt;=$B$20),($F$2*0.75)-275000,""),"")</f>
        <v/>
      </c>
      <c r="G20" s="25" t="s">
        <v>1</v>
      </c>
      <c r="H20" s="126" t="s">
        <v>90</v>
      </c>
      <c r="I20" s="24" t="str">
        <f>IF(F4="1000～2000万円",IF(AND($F$3&gt;=65,$F$2&lt;=$D$20,$F$2&gt;=$B$20),($F$2*0.75)-175000,""),"")</f>
        <v/>
      </c>
      <c r="J20" s="25" t="s">
        <v>1</v>
      </c>
      <c r="K20" s="126" t="s">
        <v>100</v>
      </c>
      <c r="L20" s="24" t="str">
        <f>IF(F4="2000万円以上",IF(AND($F$3&gt;=65,$F$2&lt;=$D$20,$F$2&gt;=$B$20),($F$2*0.75)-75000,""),"")</f>
        <v/>
      </c>
      <c r="M20" s="25" t="s">
        <v>1</v>
      </c>
      <c r="N20" s="126" t="s">
        <v>106</v>
      </c>
    </row>
    <row r="21" spans="2:14" s="19" customFormat="1" ht="30" customHeight="1" x14ac:dyDescent="0.15">
      <c r="B21" s="24">
        <v>4100000</v>
      </c>
      <c r="C21" s="26" t="s">
        <v>2</v>
      </c>
      <c r="D21" s="27">
        <v>7699999</v>
      </c>
      <c r="E21" s="124" t="s">
        <v>1</v>
      </c>
      <c r="F21" s="21" t="str">
        <f>IF(F4="1000万円以下",IF(AND($F$3&gt;=65,$F$2&lt;=$D$21,$F$2&gt;=$B$21),($F$2*0.85)-685000,""),"")</f>
        <v/>
      </c>
      <c r="G21" s="28" t="s">
        <v>1</v>
      </c>
      <c r="H21" s="126" t="s">
        <v>91</v>
      </c>
      <c r="I21" s="21" t="str">
        <f>IF(F4="1000～2000万円",IF(AND($F$3&gt;=65,$F$2&lt;=$D$21,$F$2&gt;=$B$21),($F$2*0.85)-585000,""),"")</f>
        <v/>
      </c>
      <c r="J21" s="28" t="s">
        <v>1</v>
      </c>
      <c r="K21" s="126" t="s">
        <v>101</v>
      </c>
      <c r="L21" s="21" t="str">
        <f>IF(F4="2000万円以上",IF(AND($F$3&gt;=65,$F$2&lt;=$D$21,$F$2&gt;=$B$21),($F$2*0.85)-485000,""),"")</f>
        <v/>
      </c>
      <c r="M21" s="28" t="s">
        <v>1</v>
      </c>
      <c r="N21" s="126" t="s">
        <v>107</v>
      </c>
    </row>
    <row r="22" spans="2:14" s="19" customFormat="1" ht="30" customHeight="1" x14ac:dyDescent="0.15">
      <c r="B22" s="21">
        <v>7700000</v>
      </c>
      <c r="C22" s="22" t="s">
        <v>2</v>
      </c>
      <c r="D22" s="23">
        <v>9999999</v>
      </c>
      <c r="E22" s="127" t="s">
        <v>1</v>
      </c>
      <c r="F22" s="128" t="str">
        <f>IF(F4="1000万円以下",IF(AND($F$3&gt;=65,$F$2&gt;=$B$22,$F$2&lt;=$D$22),($F$2*0.95)-1455000,""),"")</f>
        <v/>
      </c>
      <c r="G22" s="136" t="s">
        <v>1</v>
      </c>
      <c r="H22" s="130" t="s">
        <v>92</v>
      </c>
      <c r="I22" s="128" t="str">
        <f>IF(F4="1000～2000万円",IF(AND($F$3&gt;=65,$F$2&gt;=$B$22,$F$2&lt;=$D$22),($F$2*0.95)-1355000,""),"")</f>
        <v/>
      </c>
      <c r="J22" s="136" t="s">
        <v>1</v>
      </c>
      <c r="K22" s="130" t="s">
        <v>102</v>
      </c>
      <c r="L22" s="128" t="str">
        <f>IF(F4="2000万円以上",IF(AND($F$3&gt;=65,$F$2&gt;=$B$22,$F$2&lt;=$D$22),($F$2*0.95)-1255000,""),"")</f>
        <v/>
      </c>
      <c r="M22" s="136" t="s">
        <v>1</v>
      </c>
      <c r="N22" s="130" t="s">
        <v>108</v>
      </c>
    </row>
    <row r="23" spans="2:14" ht="32.25" customHeight="1" thickBot="1" x14ac:dyDescent="0.2">
      <c r="B23" s="29">
        <v>10000000</v>
      </c>
      <c r="C23" s="131" t="s">
        <v>2</v>
      </c>
      <c r="D23" s="30"/>
      <c r="E23" s="137" t="s">
        <v>115</v>
      </c>
      <c r="F23" s="29" t="str">
        <f>IF(F4="1000万円以下",IF(AND($F$3&gt;=65,$F$2&gt;=$B$23,$F$2&lt;&gt;""),$F$2-1955000,""),"")</f>
        <v/>
      </c>
      <c r="G23" s="30" t="s">
        <v>115</v>
      </c>
      <c r="H23" s="135" t="s">
        <v>93</v>
      </c>
      <c r="I23" s="29" t="str">
        <f>IF(F4="1000～2000万円",IF(AND($F$3&gt;=65,$F$2&gt;=$B$23,$F$2&lt;&gt;""),$F$2-1855000,""),"")</f>
        <v/>
      </c>
      <c r="J23" s="30" t="s">
        <v>115</v>
      </c>
      <c r="K23" s="135" t="s">
        <v>103</v>
      </c>
      <c r="L23" s="29" t="str">
        <f>IF(F4="2000万円以上",IF(AND($F$3&gt;=65,$F$2&gt;=$B$23,$F$2&lt;&gt;""),$F$2-1755000,""),"")</f>
        <v/>
      </c>
      <c r="M23" s="30" t="s">
        <v>115</v>
      </c>
      <c r="N23" s="135" t="s">
        <v>109</v>
      </c>
    </row>
  </sheetData>
  <sheetProtection selectLockedCells="1"/>
  <mergeCells count="18">
    <mergeCell ref="L8:N8"/>
    <mergeCell ref="F9:G9"/>
    <mergeCell ref="I9:J9"/>
    <mergeCell ref="L9:M9"/>
    <mergeCell ref="B2:E2"/>
    <mergeCell ref="B3:E3"/>
    <mergeCell ref="B8:E9"/>
    <mergeCell ref="F8:H8"/>
    <mergeCell ref="I8:K8"/>
    <mergeCell ref="B4:E4"/>
    <mergeCell ref="B5:E5"/>
    <mergeCell ref="B17:E18"/>
    <mergeCell ref="F17:H17"/>
    <mergeCell ref="I17:K17"/>
    <mergeCell ref="L17:N17"/>
    <mergeCell ref="F18:G18"/>
    <mergeCell ref="I18:J18"/>
    <mergeCell ref="L18:M18"/>
  </mergeCells>
  <phoneticPr fontId="1"/>
  <dataValidations count="1">
    <dataValidation type="list" allowBlank="1" showInputMessage="1" showErrorMessage="1" sqref="F4" xr:uid="{00000000-0002-0000-0200-00000000000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U43"/>
  <sheetViews>
    <sheetView zoomScale="70" zoomScaleNormal="70" workbookViewId="0">
      <selection activeCell="O15" sqref="O15"/>
    </sheetView>
  </sheetViews>
  <sheetFormatPr defaultColWidth="9" defaultRowHeight="19.5" x14ac:dyDescent="0.15"/>
  <cols>
    <col min="1" max="1" width="13.625" style="71" bestFit="1" customWidth="1"/>
    <col min="2" max="2" width="16" style="71" customWidth="1"/>
    <col min="3" max="3" width="16.375" style="72" bestFit="1" customWidth="1"/>
    <col min="4" max="4" width="15" style="71" customWidth="1"/>
    <col min="5" max="7" width="13.125" style="71" customWidth="1"/>
    <col min="8" max="8" width="4.25" style="83" customWidth="1"/>
    <col min="9" max="9" width="21.75" style="71" customWidth="1"/>
    <col min="10" max="12" width="13" style="72" customWidth="1"/>
    <col min="13" max="13" width="11.25" style="72" customWidth="1"/>
    <col min="14" max="16384" width="9" style="72"/>
  </cols>
  <sheetData>
    <row r="2" spans="1:21" ht="30" customHeight="1" x14ac:dyDescent="0.15">
      <c r="A2" s="69"/>
      <c r="B2" s="70" t="s">
        <v>22</v>
      </c>
      <c r="C2" s="70" t="s">
        <v>51</v>
      </c>
      <c r="D2" s="70" t="s">
        <v>24</v>
      </c>
      <c r="F2" s="72"/>
      <c r="G2" s="72"/>
      <c r="H2" s="72"/>
      <c r="I2" s="72"/>
    </row>
    <row r="3" spans="1:21" ht="30" customHeight="1" x14ac:dyDescent="0.15">
      <c r="A3" s="73" t="s">
        <v>52</v>
      </c>
      <c r="B3" s="74">
        <v>7.0000000000000007E-2</v>
      </c>
      <c r="C3" s="74">
        <v>2.5000000000000001E-2</v>
      </c>
      <c r="D3" s="74">
        <v>2.1000000000000001E-2</v>
      </c>
      <c r="F3" s="72"/>
      <c r="G3" s="75"/>
      <c r="H3" s="72"/>
      <c r="I3" s="76"/>
      <c r="K3" s="76"/>
      <c r="M3" s="76"/>
    </row>
    <row r="4" spans="1:21" ht="30" customHeight="1" x14ac:dyDescent="0.15">
      <c r="A4" s="73" t="s">
        <v>53</v>
      </c>
      <c r="B4" s="77">
        <v>26400</v>
      </c>
      <c r="C4" s="77">
        <v>9200</v>
      </c>
      <c r="D4" s="77">
        <v>9900</v>
      </c>
      <c r="F4" s="72"/>
      <c r="G4" s="75"/>
      <c r="H4" s="72"/>
      <c r="I4" s="76"/>
      <c r="K4" s="76"/>
      <c r="M4" s="76"/>
      <c r="Q4" s="230"/>
      <c r="R4" s="230"/>
      <c r="S4" s="230"/>
      <c r="T4" s="230"/>
      <c r="U4" s="230"/>
    </row>
    <row r="5" spans="1:21" ht="30" customHeight="1" x14ac:dyDescent="0.15">
      <c r="A5" s="73" t="s">
        <v>54</v>
      </c>
      <c r="B5" s="77">
        <v>20100</v>
      </c>
      <c r="C5" s="77">
        <v>7100</v>
      </c>
      <c r="D5" s="77">
        <v>5800</v>
      </c>
      <c r="F5" s="72"/>
      <c r="G5" s="75"/>
      <c r="H5" s="72"/>
      <c r="I5" s="76"/>
      <c r="K5" s="76"/>
      <c r="M5" s="76"/>
      <c r="Q5" s="230"/>
      <c r="R5" s="230"/>
      <c r="S5" s="230"/>
      <c r="T5" s="230"/>
      <c r="U5" s="230"/>
    </row>
    <row r="6" spans="1:21" ht="30" customHeight="1" x14ac:dyDescent="0.15">
      <c r="A6" s="70" t="s">
        <v>32</v>
      </c>
      <c r="B6" s="78">
        <v>650000</v>
      </c>
      <c r="C6" s="78">
        <v>240000</v>
      </c>
      <c r="D6" s="78">
        <v>170000</v>
      </c>
      <c r="F6" s="72"/>
      <c r="G6" s="75"/>
      <c r="H6" s="72"/>
      <c r="I6" s="76"/>
      <c r="K6" s="76"/>
      <c r="M6" s="76"/>
    </row>
    <row r="7" spans="1:21" x14ac:dyDescent="0.15">
      <c r="A7" s="79"/>
      <c r="B7" s="80"/>
      <c r="C7" s="80"/>
      <c r="D7" s="80"/>
      <c r="F7" s="72"/>
      <c r="G7" s="75"/>
      <c r="H7" s="72"/>
      <c r="I7" s="76"/>
      <c r="K7" s="76"/>
      <c r="M7" s="76"/>
    </row>
    <row r="8" spans="1:21" ht="22.5" x14ac:dyDescent="0.15">
      <c r="A8" s="81" t="s">
        <v>55</v>
      </c>
      <c r="B8" s="82"/>
    </row>
    <row r="9" spans="1:21" ht="22.5" x14ac:dyDescent="0.15">
      <c r="A9" s="84" t="s">
        <v>56</v>
      </c>
      <c r="B9" s="85"/>
      <c r="I9" s="86" t="s">
        <v>71</v>
      </c>
      <c r="J9" s="96"/>
      <c r="K9" s="97"/>
      <c r="L9" s="96"/>
      <c r="M9" s="96"/>
    </row>
    <row r="10" spans="1:21" ht="36" customHeight="1" x14ac:dyDescent="0.15">
      <c r="A10" s="231" t="s">
        <v>57</v>
      </c>
      <c r="B10" s="229" t="s">
        <v>58</v>
      </c>
      <c r="C10" s="232" t="s">
        <v>59</v>
      </c>
      <c r="D10" s="229" t="s">
        <v>60</v>
      </c>
      <c r="E10" s="229"/>
      <c r="F10" s="229"/>
      <c r="G10" s="229"/>
      <c r="H10" s="87"/>
      <c r="I10" s="231" t="s">
        <v>65</v>
      </c>
      <c r="J10" s="229" t="s">
        <v>60</v>
      </c>
      <c r="K10" s="229"/>
      <c r="L10" s="229"/>
      <c r="M10" s="229"/>
    </row>
    <row r="11" spans="1:21" ht="36" customHeight="1" x14ac:dyDescent="0.15">
      <c r="A11" s="231"/>
      <c r="B11" s="229"/>
      <c r="C11" s="232"/>
      <c r="D11" s="88" t="s">
        <v>61</v>
      </c>
      <c r="E11" s="88" t="s">
        <v>62</v>
      </c>
      <c r="F11" s="89" t="s">
        <v>63</v>
      </c>
      <c r="G11" s="88" t="s">
        <v>64</v>
      </c>
      <c r="H11" s="87"/>
      <c r="I11" s="231"/>
      <c r="J11" s="88" t="s">
        <v>61</v>
      </c>
      <c r="K11" s="88" t="s">
        <v>62</v>
      </c>
      <c r="L11" s="89" t="s">
        <v>63</v>
      </c>
      <c r="M11" s="88" t="s">
        <v>64</v>
      </c>
    </row>
    <row r="12" spans="1:21" ht="37.5" customHeight="1" x14ac:dyDescent="0.15">
      <c r="A12" s="90">
        <v>0</v>
      </c>
      <c r="B12" s="90">
        <v>0</v>
      </c>
      <c r="C12" s="91">
        <v>0</v>
      </c>
      <c r="D12" s="90">
        <f t="shared" ref="D12:D31" si="0">IF(C12*$B$3&gt;=$B$6,$B$6,C12*$B$3)</f>
        <v>0</v>
      </c>
      <c r="E12" s="90">
        <f t="shared" ref="E12:E31" si="1">IF(C12*$C$3&gt;=$C$6,$C$6,C12*$C$3)</f>
        <v>0</v>
      </c>
      <c r="F12" s="90">
        <f t="shared" ref="F12:F31" si="2">IF(C12*$D$3&gt;=$D$6,$D$6,C12*$D$3)</f>
        <v>0</v>
      </c>
      <c r="G12" s="90">
        <f t="shared" ref="G12:G15" si="3">SUM(D12:F12)</f>
        <v>0</v>
      </c>
      <c r="H12" s="92"/>
      <c r="I12" s="90">
        <v>1</v>
      </c>
      <c r="J12" s="90">
        <f>I12*$B$4</f>
        <v>26400</v>
      </c>
      <c r="K12" s="90">
        <f>I12*$C$4</f>
        <v>9200</v>
      </c>
      <c r="L12" s="90">
        <f>I12*$D$4</f>
        <v>9900</v>
      </c>
      <c r="M12" s="90">
        <f t="shared" ref="M12:M15" si="4">SUM(J12:L12)</f>
        <v>45500</v>
      </c>
    </row>
    <row r="13" spans="1:21" ht="37.5" customHeight="1" x14ac:dyDescent="0.15">
      <c r="A13" s="93">
        <v>500000</v>
      </c>
      <c r="B13" s="94">
        <v>0</v>
      </c>
      <c r="C13" s="95">
        <v>0</v>
      </c>
      <c r="D13" s="94">
        <f t="shared" si="0"/>
        <v>0</v>
      </c>
      <c r="E13" s="94">
        <f t="shared" si="1"/>
        <v>0</v>
      </c>
      <c r="F13" s="94">
        <f t="shared" si="2"/>
        <v>0</v>
      </c>
      <c r="G13" s="94">
        <f t="shared" si="3"/>
        <v>0</v>
      </c>
      <c r="H13" s="92"/>
      <c r="I13" s="93">
        <v>2</v>
      </c>
      <c r="J13" s="94">
        <f t="shared" ref="J13:J15" si="5">I13*$B$4</f>
        <v>52800</v>
      </c>
      <c r="K13" s="94">
        <f t="shared" ref="K13:K15" si="6">I13*$C$4</f>
        <v>18400</v>
      </c>
      <c r="L13" s="94">
        <f t="shared" ref="L13:L15" si="7">I13*$D$4</f>
        <v>19800</v>
      </c>
      <c r="M13" s="94">
        <f t="shared" si="4"/>
        <v>91000</v>
      </c>
    </row>
    <row r="14" spans="1:21" ht="37.5" customHeight="1" x14ac:dyDescent="0.15">
      <c r="A14" s="90">
        <v>1000000</v>
      </c>
      <c r="B14" s="90">
        <v>450000</v>
      </c>
      <c r="C14" s="90">
        <f t="shared" ref="C14:C31" si="8">B14-430000</f>
        <v>20000</v>
      </c>
      <c r="D14" s="90">
        <f t="shared" si="0"/>
        <v>1400.0000000000002</v>
      </c>
      <c r="E14" s="90">
        <f t="shared" si="1"/>
        <v>500</v>
      </c>
      <c r="F14" s="90">
        <f t="shared" si="2"/>
        <v>420</v>
      </c>
      <c r="G14" s="90">
        <f t="shared" si="3"/>
        <v>2320</v>
      </c>
      <c r="H14" s="92"/>
      <c r="I14" s="90">
        <v>3</v>
      </c>
      <c r="J14" s="90">
        <f t="shared" si="5"/>
        <v>79200</v>
      </c>
      <c r="K14" s="90">
        <f t="shared" si="6"/>
        <v>27600</v>
      </c>
      <c r="L14" s="90">
        <f t="shared" si="7"/>
        <v>29700</v>
      </c>
      <c r="M14" s="90">
        <f t="shared" si="4"/>
        <v>136500</v>
      </c>
    </row>
    <row r="15" spans="1:21" ht="37.5" customHeight="1" x14ac:dyDescent="0.15">
      <c r="A15" s="93">
        <v>1500000</v>
      </c>
      <c r="B15" s="94">
        <v>950000</v>
      </c>
      <c r="C15" s="94">
        <f t="shared" si="8"/>
        <v>520000</v>
      </c>
      <c r="D15" s="94">
        <f t="shared" si="0"/>
        <v>36400</v>
      </c>
      <c r="E15" s="94">
        <f t="shared" si="1"/>
        <v>13000</v>
      </c>
      <c r="F15" s="94">
        <f t="shared" si="2"/>
        <v>10920</v>
      </c>
      <c r="G15" s="94">
        <f t="shared" si="3"/>
        <v>60320</v>
      </c>
      <c r="H15" s="92"/>
      <c r="I15" s="93">
        <v>4</v>
      </c>
      <c r="J15" s="94">
        <f t="shared" si="5"/>
        <v>105600</v>
      </c>
      <c r="K15" s="94">
        <f t="shared" si="6"/>
        <v>36800</v>
      </c>
      <c r="L15" s="94">
        <f t="shared" si="7"/>
        <v>39600</v>
      </c>
      <c r="M15" s="94">
        <f t="shared" si="4"/>
        <v>182000</v>
      </c>
    </row>
    <row r="16" spans="1:21" ht="37.5" customHeight="1" x14ac:dyDescent="0.15">
      <c r="A16" s="90">
        <v>2000000</v>
      </c>
      <c r="B16" s="90">
        <v>1320000</v>
      </c>
      <c r="C16" s="90">
        <f t="shared" si="8"/>
        <v>890000</v>
      </c>
      <c r="D16" s="90">
        <f t="shared" si="0"/>
        <v>62300.000000000007</v>
      </c>
      <c r="E16" s="90">
        <f t="shared" si="1"/>
        <v>22250</v>
      </c>
      <c r="F16" s="90">
        <f t="shared" si="2"/>
        <v>18690</v>
      </c>
      <c r="G16" s="90">
        <f>SUM(D16:F16)</f>
        <v>103240</v>
      </c>
      <c r="H16" s="92"/>
      <c r="I16" s="100" t="s">
        <v>67</v>
      </c>
      <c r="J16" s="90">
        <f>ROUNDDOWN(J12*0.3,-2)</f>
        <v>7900</v>
      </c>
      <c r="K16" s="90">
        <f>ROUNDDOWN(K12*0.3,-2)</f>
        <v>2700</v>
      </c>
      <c r="L16" s="90">
        <f>ROUNDDOWN(L12*0.3,-2)</f>
        <v>2900</v>
      </c>
      <c r="M16" s="90">
        <f>SUM(J16:L16)</f>
        <v>13500</v>
      </c>
    </row>
    <row r="17" spans="1:13" ht="37.5" customHeight="1" x14ac:dyDescent="0.15">
      <c r="A17" s="93">
        <v>2500000</v>
      </c>
      <c r="B17" s="94">
        <v>1670000</v>
      </c>
      <c r="C17" s="94">
        <f t="shared" si="8"/>
        <v>1240000</v>
      </c>
      <c r="D17" s="94">
        <f t="shared" si="0"/>
        <v>86800.000000000015</v>
      </c>
      <c r="E17" s="94">
        <f t="shared" si="1"/>
        <v>31000</v>
      </c>
      <c r="F17" s="94">
        <f t="shared" si="2"/>
        <v>26040</v>
      </c>
      <c r="G17" s="94">
        <f t="shared" ref="G17:G31" si="9">SUM(D17:F17)</f>
        <v>143840</v>
      </c>
      <c r="H17" s="92"/>
      <c r="I17" s="101" t="s">
        <v>68</v>
      </c>
      <c r="J17" s="94">
        <f>ROUNDDOWN(J12*0.5,-2)</f>
        <v>13200</v>
      </c>
      <c r="K17" s="94">
        <f t="shared" ref="K17:L17" si="10">ROUNDDOWN(K12*0.5,-2)</f>
        <v>4600</v>
      </c>
      <c r="L17" s="94">
        <f t="shared" si="10"/>
        <v>4900</v>
      </c>
      <c r="M17" s="94">
        <f t="shared" ref="M17:M18" si="11">SUM(J17:L17)</f>
        <v>22700</v>
      </c>
    </row>
    <row r="18" spans="1:13" ht="37.5" customHeight="1" x14ac:dyDescent="0.15">
      <c r="A18" s="90">
        <v>3000000</v>
      </c>
      <c r="B18" s="90">
        <v>2020000</v>
      </c>
      <c r="C18" s="90">
        <f t="shared" si="8"/>
        <v>1590000</v>
      </c>
      <c r="D18" s="90">
        <f t="shared" si="0"/>
        <v>111300.00000000001</v>
      </c>
      <c r="E18" s="90">
        <f t="shared" si="1"/>
        <v>39750</v>
      </c>
      <c r="F18" s="90">
        <f t="shared" si="2"/>
        <v>33390</v>
      </c>
      <c r="G18" s="90">
        <f t="shared" si="9"/>
        <v>184440</v>
      </c>
      <c r="H18" s="92"/>
      <c r="I18" s="100" t="s">
        <v>69</v>
      </c>
      <c r="J18" s="90">
        <f>ROUNDDOWN(J12*0.8,-2)</f>
        <v>21100</v>
      </c>
      <c r="K18" s="90">
        <f t="shared" ref="K18:L18" si="12">ROUNDDOWN(K12*0.8,-2)</f>
        <v>7300</v>
      </c>
      <c r="L18" s="90">
        <f t="shared" si="12"/>
        <v>7900</v>
      </c>
      <c r="M18" s="90">
        <f t="shared" si="11"/>
        <v>36300</v>
      </c>
    </row>
    <row r="19" spans="1:13" ht="37.5" customHeight="1" x14ac:dyDescent="0.15">
      <c r="A19" s="93">
        <v>3500000</v>
      </c>
      <c r="B19" s="94">
        <v>2370000</v>
      </c>
      <c r="C19" s="94">
        <f t="shared" si="8"/>
        <v>1940000</v>
      </c>
      <c r="D19" s="94">
        <f t="shared" si="0"/>
        <v>135800</v>
      </c>
      <c r="E19" s="94">
        <f t="shared" si="1"/>
        <v>48500</v>
      </c>
      <c r="F19" s="94">
        <f t="shared" si="2"/>
        <v>40740</v>
      </c>
      <c r="G19" s="94">
        <f t="shared" si="9"/>
        <v>225040</v>
      </c>
      <c r="H19" s="92"/>
      <c r="I19" s="72"/>
    </row>
    <row r="20" spans="1:13" ht="37.5" customHeight="1" x14ac:dyDescent="0.15">
      <c r="A20" s="90">
        <v>4000000</v>
      </c>
      <c r="B20" s="90">
        <v>2760000</v>
      </c>
      <c r="C20" s="90">
        <f t="shared" si="8"/>
        <v>2330000</v>
      </c>
      <c r="D20" s="90">
        <f t="shared" si="0"/>
        <v>163100.00000000003</v>
      </c>
      <c r="E20" s="90">
        <f t="shared" si="1"/>
        <v>58250</v>
      </c>
      <c r="F20" s="90">
        <f t="shared" si="2"/>
        <v>48930</v>
      </c>
      <c r="G20" s="90">
        <f t="shared" si="9"/>
        <v>270280</v>
      </c>
      <c r="H20" s="92"/>
      <c r="I20" s="99" t="s">
        <v>72</v>
      </c>
      <c r="J20" s="97"/>
      <c r="K20" s="97"/>
      <c r="L20" s="97"/>
      <c r="M20" s="97"/>
    </row>
    <row r="21" spans="1:13" ht="37.5" customHeight="1" x14ac:dyDescent="0.15">
      <c r="A21" s="93">
        <v>4500000</v>
      </c>
      <c r="B21" s="94">
        <v>3160000</v>
      </c>
      <c r="C21" s="94">
        <f t="shared" si="8"/>
        <v>2730000</v>
      </c>
      <c r="D21" s="94">
        <f t="shared" si="0"/>
        <v>191100.00000000003</v>
      </c>
      <c r="E21" s="94">
        <f t="shared" si="1"/>
        <v>68250</v>
      </c>
      <c r="F21" s="94">
        <f t="shared" si="2"/>
        <v>57330</v>
      </c>
      <c r="G21" s="94">
        <f t="shared" si="9"/>
        <v>316680</v>
      </c>
      <c r="H21" s="92"/>
      <c r="I21" s="227"/>
      <c r="J21" s="229" t="s">
        <v>60</v>
      </c>
      <c r="K21" s="229"/>
      <c r="L21" s="229"/>
      <c r="M21" s="229"/>
    </row>
    <row r="22" spans="1:13" ht="37.5" customHeight="1" x14ac:dyDescent="0.15">
      <c r="A22" s="90">
        <v>5000000</v>
      </c>
      <c r="B22" s="90">
        <v>3560000</v>
      </c>
      <c r="C22" s="90">
        <f t="shared" si="8"/>
        <v>3130000</v>
      </c>
      <c r="D22" s="90">
        <f t="shared" si="0"/>
        <v>219100.00000000003</v>
      </c>
      <c r="E22" s="90">
        <f t="shared" si="1"/>
        <v>78250</v>
      </c>
      <c r="F22" s="90">
        <f t="shared" si="2"/>
        <v>65730</v>
      </c>
      <c r="G22" s="90">
        <f t="shared" si="9"/>
        <v>363080</v>
      </c>
      <c r="H22" s="92"/>
      <c r="I22" s="228"/>
      <c r="J22" s="88" t="s">
        <v>61</v>
      </c>
      <c r="K22" s="88" t="s">
        <v>62</v>
      </c>
      <c r="L22" s="89" t="s">
        <v>63</v>
      </c>
      <c r="M22" s="88" t="s">
        <v>64</v>
      </c>
    </row>
    <row r="23" spans="1:13" ht="37.5" customHeight="1" x14ac:dyDescent="0.15">
      <c r="A23" s="93">
        <v>5500000</v>
      </c>
      <c r="B23" s="94">
        <v>3960000</v>
      </c>
      <c r="C23" s="94">
        <f t="shared" si="8"/>
        <v>3530000</v>
      </c>
      <c r="D23" s="94">
        <f t="shared" si="0"/>
        <v>247100.00000000003</v>
      </c>
      <c r="E23" s="94">
        <f t="shared" si="1"/>
        <v>88250</v>
      </c>
      <c r="F23" s="94">
        <f t="shared" si="2"/>
        <v>74130</v>
      </c>
      <c r="G23" s="94">
        <f t="shared" si="9"/>
        <v>409480</v>
      </c>
      <c r="H23" s="92"/>
      <c r="I23" s="90" t="s">
        <v>66</v>
      </c>
      <c r="J23" s="90">
        <f>B5</f>
        <v>20100</v>
      </c>
      <c r="K23" s="90">
        <f>C5</f>
        <v>7100</v>
      </c>
      <c r="L23" s="90">
        <f>D5</f>
        <v>5800</v>
      </c>
      <c r="M23" s="90">
        <f t="shared" ref="M23:M26" si="13">SUM(J23:L23)</f>
        <v>33000</v>
      </c>
    </row>
    <row r="24" spans="1:13" ht="37.5" customHeight="1" x14ac:dyDescent="0.15">
      <c r="A24" s="90">
        <v>6000000</v>
      </c>
      <c r="B24" s="90">
        <v>4360000</v>
      </c>
      <c r="C24" s="90">
        <f t="shared" si="8"/>
        <v>3930000</v>
      </c>
      <c r="D24" s="90">
        <f t="shared" si="0"/>
        <v>275100</v>
      </c>
      <c r="E24" s="90">
        <f t="shared" si="1"/>
        <v>98250</v>
      </c>
      <c r="F24" s="90">
        <f t="shared" si="2"/>
        <v>82530</v>
      </c>
      <c r="G24" s="90">
        <f t="shared" si="9"/>
        <v>455880</v>
      </c>
      <c r="H24" s="92"/>
      <c r="I24" s="94" t="s">
        <v>67</v>
      </c>
      <c r="J24" s="94">
        <f>ROUNDDOWN(J23*0.3,-2)</f>
        <v>6000</v>
      </c>
      <c r="K24" s="94">
        <f t="shared" ref="K24:L24" si="14">ROUNDDOWN(K23*0.3,-2)</f>
        <v>2100</v>
      </c>
      <c r="L24" s="94">
        <f t="shared" si="14"/>
        <v>1700</v>
      </c>
      <c r="M24" s="94">
        <f t="shared" si="13"/>
        <v>9800</v>
      </c>
    </row>
    <row r="25" spans="1:13" ht="37.5" customHeight="1" x14ac:dyDescent="0.15">
      <c r="A25" s="93">
        <v>6500000</v>
      </c>
      <c r="B25" s="94">
        <v>4760000</v>
      </c>
      <c r="C25" s="94">
        <f t="shared" si="8"/>
        <v>4330000</v>
      </c>
      <c r="D25" s="94">
        <f t="shared" si="0"/>
        <v>303100</v>
      </c>
      <c r="E25" s="94">
        <f t="shared" si="1"/>
        <v>108250</v>
      </c>
      <c r="F25" s="94">
        <f t="shared" si="2"/>
        <v>90930</v>
      </c>
      <c r="G25" s="94">
        <f t="shared" si="9"/>
        <v>502280</v>
      </c>
      <c r="H25" s="92"/>
      <c r="I25" s="94" t="s">
        <v>68</v>
      </c>
      <c r="J25" s="94">
        <f>ROUNDDOWN(J23*0.5,-2)</f>
        <v>10000</v>
      </c>
      <c r="K25" s="94">
        <f t="shared" ref="K25:L25" si="15">ROUNDDOWN(K23*0.5,-2)</f>
        <v>3500</v>
      </c>
      <c r="L25" s="94">
        <f t="shared" si="15"/>
        <v>2900</v>
      </c>
      <c r="M25" s="94">
        <f t="shared" si="13"/>
        <v>16400</v>
      </c>
    </row>
    <row r="26" spans="1:13" ht="37.5" customHeight="1" x14ac:dyDescent="0.15">
      <c r="A26" s="90">
        <v>7000000</v>
      </c>
      <c r="B26" s="90">
        <v>5200000</v>
      </c>
      <c r="C26" s="90">
        <f t="shared" si="8"/>
        <v>4770000</v>
      </c>
      <c r="D26" s="90">
        <f t="shared" si="0"/>
        <v>333900.00000000006</v>
      </c>
      <c r="E26" s="90">
        <f t="shared" si="1"/>
        <v>119250</v>
      </c>
      <c r="F26" s="90">
        <f t="shared" si="2"/>
        <v>100170</v>
      </c>
      <c r="G26" s="90">
        <f t="shared" si="9"/>
        <v>553320</v>
      </c>
      <c r="H26" s="92"/>
      <c r="I26" s="94" t="s">
        <v>69</v>
      </c>
      <c r="J26" s="94">
        <f>ROUNDDOWN(J23*0.8,-2)</f>
        <v>16000</v>
      </c>
      <c r="K26" s="94">
        <f t="shared" ref="K26:L26" si="16">ROUNDDOWN(K23*0.8,-2)</f>
        <v>5600</v>
      </c>
      <c r="L26" s="94">
        <f t="shared" si="16"/>
        <v>4600</v>
      </c>
      <c r="M26" s="94">
        <f t="shared" si="13"/>
        <v>26200</v>
      </c>
    </row>
    <row r="27" spans="1:13" ht="37.5" customHeight="1" x14ac:dyDescent="0.15">
      <c r="A27" s="93">
        <v>7500000</v>
      </c>
      <c r="B27" s="94">
        <v>5650000</v>
      </c>
      <c r="C27" s="94">
        <f t="shared" si="8"/>
        <v>5220000</v>
      </c>
      <c r="D27" s="94">
        <f t="shared" si="0"/>
        <v>365400.00000000006</v>
      </c>
      <c r="E27" s="94">
        <f t="shared" si="1"/>
        <v>130500</v>
      </c>
      <c r="F27" s="94">
        <f t="shared" si="2"/>
        <v>109620</v>
      </c>
      <c r="G27" s="94">
        <f t="shared" si="9"/>
        <v>605520</v>
      </c>
      <c r="H27" s="92"/>
      <c r="I27" s="72"/>
    </row>
    <row r="28" spans="1:13" ht="37.5" customHeight="1" x14ac:dyDescent="0.15">
      <c r="A28" s="90">
        <v>8000000</v>
      </c>
      <c r="B28" s="90">
        <v>6100000</v>
      </c>
      <c r="C28" s="90">
        <f t="shared" si="8"/>
        <v>5670000</v>
      </c>
      <c r="D28" s="90">
        <f t="shared" si="0"/>
        <v>396900.00000000006</v>
      </c>
      <c r="E28" s="90">
        <f t="shared" si="1"/>
        <v>141750</v>
      </c>
      <c r="F28" s="90">
        <f t="shared" si="2"/>
        <v>119070.00000000001</v>
      </c>
      <c r="G28" s="90">
        <f t="shared" si="9"/>
        <v>657720</v>
      </c>
      <c r="H28" s="92"/>
      <c r="I28" s="72"/>
    </row>
    <row r="29" spans="1:13" ht="37.5" customHeight="1" x14ac:dyDescent="0.15">
      <c r="A29" s="93">
        <v>8500000</v>
      </c>
      <c r="B29" s="94">
        <v>6550000</v>
      </c>
      <c r="C29" s="94">
        <f t="shared" si="8"/>
        <v>6120000</v>
      </c>
      <c r="D29" s="94">
        <f t="shared" si="0"/>
        <v>428400.00000000006</v>
      </c>
      <c r="E29" s="94">
        <f t="shared" si="1"/>
        <v>153000</v>
      </c>
      <c r="F29" s="94">
        <f t="shared" si="2"/>
        <v>128520.00000000001</v>
      </c>
      <c r="G29" s="94">
        <f t="shared" si="9"/>
        <v>709920</v>
      </c>
      <c r="H29" s="92"/>
      <c r="I29" s="72"/>
    </row>
    <row r="30" spans="1:13" ht="37.5" customHeight="1" x14ac:dyDescent="0.15">
      <c r="A30" s="90">
        <v>9000000</v>
      </c>
      <c r="B30" s="90">
        <v>7050000</v>
      </c>
      <c r="C30" s="90">
        <f t="shared" si="8"/>
        <v>6620000</v>
      </c>
      <c r="D30" s="90">
        <f t="shared" si="0"/>
        <v>463400.00000000006</v>
      </c>
      <c r="E30" s="90">
        <f t="shared" si="1"/>
        <v>165500</v>
      </c>
      <c r="F30" s="90">
        <f t="shared" si="2"/>
        <v>139020</v>
      </c>
      <c r="G30" s="90">
        <f t="shared" si="9"/>
        <v>767920</v>
      </c>
      <c r="H30" s="92"/>
      <c r="I30" s="72"/>
    </row>
    <row r="31" spans="1:13" ht="37.5" customHeight="1" x14ac:dyDescent="0.15">
      <c r="A31" s="93">
        <v>9500000</v>
      </c>
      <c r="B31" s="94">
        <v>7550000</v>
      </c>
      <c r="C31" s="94">
        <f t="shared" si="8"/>
        <v>7120000</v>
      </c>
      <c r="D31" s="94">
        <f t="shared" si="0"/>
        <v>498400.00000000006</v>
      </c>
      <c r="E31" s="94">
        <f t="shared" si="1"/>
        <v>178000</v>
      </c>
      <c r="F31" s="94">
        <f t="shared" si="2"/>
        <v>149520</v>
      </c>
      <c r="G31" s="94">
        <f t="shared" si="9"/>
        <v>825920</v>
      </c>
      <c r="H31" s="92"/>
      <c r="I31" s="72"/>
    </row>
    <row r="32" spans="1:13" x14ac:dyDescent="0.15">
      <c r="B32" s="96"/>
      <c r="C32" s="97"/>
      <c r="D32" s="96"/>
      <c r="E32" s="96"/>
      <c r="F32" s="96"/>
      <c r="G32" s="96"/>
      <c r="H32" s="98"/>
      <c r="I32" s="72"/>
    </row>
    <row r="33" spans="1:13" x14ac:dyDescent="0.15">
      <c r="A33" s="72"/>
      <c r="B33" s="72"/>
      <c r="D33" s="72"/>
      <c r="E33" s="72"/>
      <c r="F33" s="96"/>
      <c r="G33" s="96"/>
      <c r="H33" s="98"/>
      <c r="I33" s="72"/>
    </row>
    <row r="34" spans="1:13" x14ac:dyDescent="0.15">
      <c r="A34" s="72"/>
      <c r="B34" s="72"/>
      <c r="D34" s="72"/>
      <c r="E34" s="72"/>
      <c r="F34" s="96"/>
      <c r="G34" s="96"/>
      <c r="H34" s="98"/>
      <c r="I34" s="72"/>
    </row>
    <row r="35" spans="1:13" x14ac:dyDescent="0.15">
      <c r="A35" s="72"/>
      <c r="B35" s="72"/>
      <c r="D35" s="72"/>
      <c r="E35" s="72"/>
      <c r="F35" s="96"/>
      <c r="G35" s="96"/>
      <c r="H35" s="98"/>
      <c r="I35" s="72"/>
    </row>
    <row r="36" spans="1:13" ht="37.5" customHeight="1" x14ac:dyDescent="0.15">
      <c r="A36" s="72"/>
      <c r="B36" s="72"/>
      <c r="D36" s="72"/>
      <c r="E36" s="72"/>
      <c r="F36" s="96"/>
      <c r="G36" s="96"/>
      <c r="H36" s="98"/>
      <c r="I36" s="72"/>
    </row>
    <row r="37" spans="1:13" ht="37.5" customHeight="1" x14ac:dyDescent="0.15">
      <c r="A37" s="72"/>
      <c r="B37" s="72"/>
      <c r="D37" s="72"/>
      <c r="E37" s="72"/>
      <c r="F37" s="96"/>
      <c r="G37" s="96"/>
      <c r="H37" s="98"/>
      <c r="I37" s="72"/>
    </row>
    <row r="38" spans="1:13" ht="37.5" customHeight="1" x14ac:dyDescent="0.15">
      <c r="A38" s="72"/>
      <c r="B38" s="72"/>
      <c r="D38" s="72"/>
      <c r="E38" s="72"/>
      <c r="F38" s="96"/>
      <c r="G38" s="96"/>
      <c r="H38" s="98"/>
      <c r="I38" s="72"/>
    </row>
    <row r="39" spans="1:13" ht="37.5" customHeight="1" x14ac:dyDescent="0.15">
      <c r="A39" s="72"/>
      <c r="B39" s="72"/>
      <c r="D39" s="72"/>
      <c r="E39" s="72"/>
      <c r="F39" s="96"/>
      <c r="G39" s="96"/>
      <c r="H39" s="98"/>
      <c r="I39" s="96"/>
      <c r="J39" s="97"/>
      <c r="K39" s="97"/>
      <c r="L39" s="97"/>
      <c r="M39" s="97"/>
    </row>
    <row r="40" spans="1:13" ht="37.5" customHeight="1" x14ac:dyDescent="0.15">
      <c r="A40" s="72"/>
      <c r="B40" s="72"/>
      <c r="D40" s="72"/>
      <c r="E40" s="72"/>
      <c r="F40" s="96"/>
      <c r="G40" s="96"/>
      <c r="H40" s="98"/>
      <c r="I40" s="96"/>
      <c r="J40" s="97"/>
      <c r="K40" s="97"/>
      <c r="L40" s="97"/>
      <c r="M40" s="97"/>
    </row>
    <row r="41" spans="1:13" ht="37.5" customHeight="1" x14ac:dyDescent="0.15">
      <c r="A41" s="72"/>
      <c r="B41" s="72"/>
      <c r="D41" s="72"/>
      <c r="E41" s="72"/>
      <c r="F41" s="96"/>
      <c r="G41" s="96"/>
      <c r="H41" s="98"/>
      <c r="I41" s="96"/>
      <c r="J41" s="97"/>
      <c r="K41" s="97"/>
      <c r="L41" s="97"/>
      <c r="M41" s="97"/>
    </row>
    <row r="42" spans="1:13" ht="37.5" customHeight="1" x14ac:dyDescent="0.15">
      <c r="A42" s="72"/>
      <c r="B42" s="72"/>
      <c r="D42" s="72"/>
      <c r="E42" s="72"/>
      <c r="F42" s="96"/>
      <c r="G42" s="96"/>
      <c r="H42" s="98"/>
      <c r="I42" s="96"/>
      <c r="J42" s="97"/>
      <c r="K42" s="97"/>
      <c r="L42" s="97"/>
      <c r="M42" s="97"/>
    </row>
    <row r="43" spans="1:13" x14ac:dyDescent="0.15">
      <c r="B43" s="96"/>
      <c r="C43" s="97"/>
      <c r="D43" s="96"/>
      <c r="E43" s="96"/>
      <c r="F43" s="96"/>
      <c r="G43" s="96"/>
      <c r="H43" s="98"/>
    </row>
  </sheetData>
  <mergeCells count="12">
    <mergeCell ref="A10:A11"/>
    <mergeCell ref="B10:B11"/>
    <mergeCell ref="C10:C11"/>
    <mergeCell ref="D10:G10"/>
    <mergeCell ref="I10:I11"/>
    <mergeCell ref="I21:I22"/>
    <mergeCell ref="J21:M21"/>
    <mergeCell ref="Q4:R4"/>
    <mergeCell ref="S4:U4"/>
    <mergeCell ref="Q5:R5"/>
    <mergeCell ref="S5:U5"/>
    <mergeCell ref="J10:M10"/>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令和6年度</vt:lpstr>
      <vt:lpstr>給与収入</vt:lpstr>
      <vt:lpstr>年金収入</vt:lpstr>
      <vt:lpstr>早読表</vt:lpstr>
      <vt:lpstr>給与収入!Print_Area</vt:lpstr>
      <vt:lpstr>令和6年度!Print_Area</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雅弥</dc:creator>
  <cp:lastModifiedBy>堀内知明</cp:lastModifiedBy>
  <cp:lastPrinted>2023-10-31T01:12:12Z</cp:lastPrinted>
  <dcterms:created xsi:type="dcterms:W3CDTF">2016-04-26T05:13:48Z</dcterms:created>
  <dcterms:modified xsi:type="dcterms:W3CDTF">2024-03-12T06:11:17Z</dcterms:modified>
</cp:coreProperties>
</file>