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C:\Users\UPER274\Desktop\"/>
    </mc:Choice>
  </mc:AlternateContent>
  <xr:revisionPtr revIDLastSave="0" documentId="13_ncr:1_{C74A89F0-A8CE-4E35-9DCA-C8309BB3813F}" xr6:coauthVersionLast="36" xr6:coauthVersionMax="36" xr10:uidLastSave="{00000000-0000-0000-0000-000000000000}"/>
  <bookViews>
    <workbookView xWindow="0" yWindow="0" windowWidth="18170" windowHeight="6830" xr2:uid="{00000000-000D-0000-FFFF-FFFF00000000}"/>
  </bookViews>
  <sheets>
    <sheet name="令和8年度" sheetId="6" r:id="rId1"/>
    <sheet name="給与収入" sheetId="1" r:id="rId2"/>
    <sheet name="年金収入" sheetId="7" r:id="rId3"/>
    <sheet name="早読表" sheetId="5" r:id="rId4"/>
  </sheets>
  <definedNames>
    <definedName name="_xlnm.Print_Area" localSheetId="1">給与収入!$A$1:$I$20</definedName>
    <definedName name="_xlnm.Print_Area" localSheetId="0">令和8年度!$A$1:$O$55</definedName>
  </definedNames>
  <calcPr calcId="191029"/>
</workbook>
</file>

<file path=xl/calcChain.xml><?xml version="1.0" encoding="utf-8"?>
<calcChain xmlns="http://schemas.openxmlformats.org/spreadsheetml/2006/main">
  <c r="C16" i="5" l="1"/>
  <c r="H32" i="5"/>
  <c r="H16" i="5"/>
  <c r="H17" i="5"/>
  <c r="H18" i="5"/>
  <c r="H19" i="5"/>
  <c r="H20" i="5"/>
  <c r="H21" i="5"/>
  <c r="H22" i="5"/>
  <c r="H23" i="5"/>
  <c r="H24" i="5"/>
  <c r="H25" i="5"/>
  <c r="H26" i="5"/>
  <c r="H27" i="5"/>
  <c r="H28" i="5"/>
  <c r="H29" i="5"/>
  <c r="H30" i="5"/>
  <c r="H31" i="5"/>
  <c r="G16" i="5"/>
  <c r="G17" i="5"/>
  <c r="G18" i="5"/>
  <c r="G19" i="5"/>
  <c r="G20" i="5"/>
  <c r="G21" i="5"/>
  <c r="G22" i="5"/>
  <c r="G23" i="5"/>
  <c r="G24" i="5"/>
  <c r="G25" i="5"/>
  <c r="G26" i="5"/>
  <c r="G27" i="5"/>
  <c r="G28" i="5"/>
  <c r="G29" i="5"/>
  <c r="G30" i="5"/>
  <c r="G31" i="5"/>
  <c r="G32" i="5"/>
  <c r="F15" i="5"/>
  <c r="E15" i="5"/>
  <c r="D15" i="5"/>
  <c r="K33" i="5"/>
  <c r="K34" i="5"/>
  <c r="K35" i="5"/>
  <c r="K32" i="5"/>
  <c r="N27" i="5"/>
  <c r="N26" i="5"/>
  <c r="N25" i="5"/>
  <c r="N24" i="5"/>
  <c r="L24" i="5"/>
  <c r="K24" i="5"/>
  <c r="O13" i="5"/>
  <c r="N19" i="5"/>
  <c r="M19" i="5"/>
  <c r="N18" i="5"/>
  <c r="M18" i="5"/>
  <c r="N17" i="5"/>
  <c r="M17" i="5"/>
  <c r="N14" i="5"/>
  <c r="N15" i="5"/>
  <c r="N16" i="5"/>
  <c r="N13" i="5"/>
  <c r="M13" i="5"/>
  <c r="L13" i="5"/>
  <c r="K13" i="5"/>
  <c r="G15" i="5" l="1"/>
  <c r="H15" i="5" s="1"/>
  <c r="F16" i="1"/>
  <c r="F17" i="1"/>
  <c r="E34" i="6" l="1"/>
  <c r="D33" i="6" l="1"/>
  <c r="E36" i="6"/>
  <c r="F42" i="6" s="1"/>
  <c r="D36" i="6" l="1"/>
  <c r="F19" i="1"/>
  <c r="F18" i="1"/>
  <c r="F15" i="1" l="1"/>
  <c r="K17" i="5" l="1"/>
  <c r="G23" i="6"/>
  <c r="D34" i="6" l="1"/>
  <c r="H9" i="6" l="1"/>
  <c r="I9" i="6" s="1"/>
  <c r="H10" i="6"/>
  <c r="I10" i="6" s="1"/>
  <c r="O18" i="6" l="1"/>
  <c r="G18" i="6"/>
  <c r="L6" i="6" l="1"/>
  <c r="L7" i="6"/>
  <c r="L8" i="6"/>
  <c r="L9" i="6"/>
  <c r="L10" i="6"/>
  <c r="L11" i="6"/>
  <c r="L12" i="6"/>
  <c r="H11" i="6" l="1"/>
  <c r="I11" i="6" s="1"/>
  <c r="C32" i="5"/>
  <c r="C30" i="5"/>
  <c r="C28" i="5"/>
  <c r="C26" i="5"/>
  <c r="C24" i="5"/>
  <c r="C22" i="5"/>
  <c r="C20" i="5"/>
  <c r="C18" i="5"/>
  <c r="D16" i="5"/>
  <c r="C31" i="5"/>
  <c r="C29" i="5"/>
  <c r="C27" i="5"/>
  <c r="C25" i="5"/>
  <c r="C23" i="5"/>
  <c r="C21" i="5"/>
  <c r="C19" i="5"/>
  <c r="C17" i="5"/>
  <c r="R6" i="6"/>
  <c r="R7" i="6"/>
  <c r="R8" i="6"/>
  <c r="R9" i="6"/>
  <c r="R10" i="6"/>
  <c r="R11" i="6"/>
  <c r="R12" i="6"/>
  <c r="H7" i="6" l="1"/>
  <c r="I7" i="6" s="1"/>
  <c r="H8" i="6"/>
  <c r="I8" i="6" s="1"/>
  <c r="H12" i="6"/>
  <c r="I12" i="6" s="1"/>
  <c r="H6" i="6"/>
  <c r="I6" i="6" s="1"/>
  <c r="L23" i="7" l="1"/>
  <c r="I23" i="7"/>
  <c r="F23" i="7"/>
  <c r="L22" i="7"/>
  <c r="I22" i="7"/>
  <c r="F22" i="7"/>
  <c r="L21" i="7"/>
  <c r="I21" i="7"/>
  <c r="F21" i="7"/>
  <c r="F20" i="7"/>
  <c r="L20" i="7"/>
  <c r="I20" i="7"/>
  <c r="L19" i="7"/>
  <c r="I19" i="7"/>
  <c r="F19" i="7"/>
  <c r="L14" i="7"/>
  <c r="L13" i="7"/>
  <c r="L12" i="7"/>
  <c r="L11" i="7"/>
  <c r="L10" i="7"/>
  <c r="I13" i="7"/>
  <c r="F14" i="7"/>
  <c r="F12" i="7"/>
  <c r="F13" i="7"/>
  <c r="I14" i="7"/>
  <c r="I12" i="7"/>
  <c r="I11" i="7"/>
  <c r="I10" i="7"/>
  <c r="F11" i="7"/>
  <c r="F10" i="7"/>
  <c r="F5" i="7" l="1"/>
  <c r="M6" i="6"/>
  <c r="M7" i="6"/>
  <c r="M8" i="6"/>
  <c r="M9" i="6"/>
  <c r="M10" i="6"/>
  <c r="M11" i="6"/>
  <c r="M12" i="6"/>
  <c r="R5" i="6" l="1"/>
  <c r="O19" i="6" s="1"/>
  <c r="F10" i="1"/>
  <c r="M24" i="5" l="1"/>
  <c r="K25" i="5"/>
  <c r="M26" i="5" l="1"/>
  <c r="M25" i="5"/>
  <c r="O24" i="5"/>
  <c r="C35" i="6"/>
  <c r="C33" i="6"/>
  <c r="E18" i="6"/>
  <c r="N12" i="6"/>
  <c r="N11" i="6"/>
  <c r="N10" i="6"/>
  <c r="N9" i="6"/>
  <c r="N8" i="6"/>
  <c r="N7" i="6"/>
  <c r="N6" i="6"/>
  <c r="N5" i="6"/>
  <c r="C36" i="6" l="1"/>
  <c r="C41" i="6"/>
  <c r="C40" i="6"/>
  <c r="E41" i="6"/>
  <c r="E40" i="6"/>
  <c r="C34" i="6"/>
  <c r="L27" i="5"/>
  <c r="M27" i="5"/>
  <c r="K27" i="5"/>
  <c r="L26" i="5"/>
  <c r="L25" i="5"/>
  <c r="O25" i="5" s="1"/>
  <c r="K26" i="5"/>
  <c r="O26" i="5" s="1"/>
  <c r="M16" i="5"/>
  <c r="L16" i="5"/>
  <c r="K16" i="5"/>
  <c r="M15" i="5"/>
  <c r="L15" i="5"/>
  <c r="K15" i="5"/>
  <c r="M14" i="5"/>
  <c r="L14" i="5"/>
  <c r="K14" i="5"/>
  <c r="L17" i="5"/>
  <c r="O17" i="5" s="1"/>
  <c r="K18" i="5"/>
  <c r="E32" i="5"/>
  <c r="E31" i="5"/>
  <c r="F30" i="5"/>
  <c r="E29" i="5"/>
  <c r="E28" i="5"/>
  <c r="E27" i="5"/>
  <c r="F27" i="5"/>
  <c r="F26" i="5"/>
  <c r="E25" i="5"/>
  <c r="E24" i="5"/>
  <c r="F23" i="5"/>
  <c r="F22" i="5"/>
  <c r="E21" i="5"/>
  <c r="E20" i="5"/>
  <c r="D19" i="5"/>
  <c r="F18" i="5"/>
  <c r="E17" i="5"/>
  <c r="F14" i="5"/>
  <c r="E14" i="5"/>
  <c r="D14" i="5"/>
  <c r="F13" i="5"/>
  <c r="E13" i="5"/>
  <c r="D13" i="5"/>
  <c r="O16" i="5" l="1"/>
  <c r="O14" i="5"/>
  <c r="O15" i="5"/>
  <c r="O27" i="5"/>
  <c r="D41" i="6"/>
  <c r="D40" i="6"/>
  <c r="F41" i="6"/>
  <c r="F40" i="6"/>
  <c r="E18" i="5"/>
  <c r="D23" i="5"/>
  <c r="E26" i="5"/>
  <c r="D31" i="5"/>
  <c r="D17" i="5"/>
  <c r="E23" i="5"/>
  <c r="D25" i="5"/>
  <c r="F29" i="5"/>
  <c r="F25" i="5"/>
  <c r="F21" i="5"/>
  <c r="L19" i="5"/>
  <c r="E19" i="5"/>
  <c r="F17" i="5"/>
  <c r="F19" i="5"/>
  <c r="E22" i="5"/>
  <c r="D27" i="5"/>
  <c r="D29" i="5"/>
  <c r="F31" i="5"/>
  <c r="L18" i="5"/>
  <c r="O18" i="5" s="1"/>
  <c r="K19" i="5"/>
  <c r="O19" i="5" s="1"/>
  <c r="D21" i="5"/>
  <c r="E30" i="5"/>
  <c r="H14" i="5"/>
  <c r="H13" i="5"/>
  <c r="E16" i="5"/>
  <c r="F16" i="5"/>
  <c r="D18" i="5"/>
  <c r="F20" i="5"/>
  <c r="D22" i="5"/>
  <c r="F24" i="5"/>
  <c r="D26" i="5"/>
  <c r="F28" i="5"/>
  <c r="D30" i="5"/>
  <c r="F32" i="5"/>
  <c r="D20" i="5"/>
  <c r="D24" i="5"/>
  <c r="D28" i="5"/>
  <c r="D32" i="5"/>
  <c r="F14" i="1" l="1"/>
  <c r="H11" i="1"/>
  <c r="F3" i="1" l="1"/>
  <c r="C15" i="6"/>
  <c r="L5" i="6"/>
  <c r="H5" i="6"/>
  <c r="I5" i="6" s="1"/>
  <c r="C22" i="6" s="1"/>
  <c r="C23" i="6" l="1"/>
  <c r="M5" i="6"/>
  <c r="F33" i="6" s="1"/>
  <c r="C44" i="6" l="1"/>
  <c r="F44" i="6"/>
  <c r="D44" i="6"/>
  <c r="F45" i="6"/>
  <c r="F43" i="6"/>
  <c r="E43" i="6"/>
  <c r="C43" i="6"/>
  <c r="C45" i="6"/>
  <c r="D45" i="6"/>
  <c r="E45" i="6"/>
  <c r="C39" i="6"/>
  <c r="F36" i="6"/>
  <c r="F39" i="6" s="1"/>
  <c r="F46" i="6" s="1"/>
  <c r="D43" i="6"/>
  <c r="F35" i="6"/>
  <c r="E39" i="6" s="1"/>
  <c r="E46" i="6" s="1"/>
  <c r="E47" i="6" l="1"/>
  <c r="F47" i="6"/>
  <c r="F34" i="6"/>
  <c r="D39" i="6" s="1"/>
  <c r="D46" i="6" s="1"/>
  <c r="C46" i="6"/>
  <c r="C47" i="6" s="1"/>
  <c r="D47" i="6" l="1"/>
  <c r="F49" i="6" s="1"/>
  <c r="F51" i="6" l="1"/>
  <c r="F5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優希</author>
  </authors>
  <commentList>
    <comment ref="E5" authorId="0" shapeId="0" xr:uid="{00000000-0006-0000-0000-000001000000}">
      <text>
        <r>
          <rPr>
            <sz val="9"/>
            <color indexed="81"/>
            <rFont val="メイリオ"/>
            <family val="3"/>
            <charset val="128"/>
          </rPr>
          <t xml:space="preserve">資料記載の給与所得はすでに調整控除がされており、そのまま入力すると二重に控除されてしまうことがあります。
</t>
        </r>
        <r>
          <rPr>
            <b/>
            <u/>
            <sz val="9"/>
            <color indexed="81"/>
            <rFont val="メイリオ"/>
            <family val="3"/>
            <charset val="128"/>
          </rPr>
          <t>「給与収入」のシートで、収入から計算した所得を入力するようにしてください。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細川　雅弥</author>
  </authors>
  <commentList>
    <comment ref="F2" authorId="0" shapeId="0" xr:uid="{00000000-0006-0000-0100-000001000000}">
      <text>
        <r>
          <rPr>
            <b/>
            <sz val="16"/>
            <color indexed="81"/>
            <rFont val="ＭＳ Ｐゴシック"/>
            <family val="3"/>
            <charset val="128"/>
          </rPr>
          <t>ここに収入金額を入力してください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細川　雅弥</author>
  </authors>
  <commentList>
    <comment ref="F2" authorId="0" shapeId="0" xr:uid="{00000000-0006-0000-0200-000001000000}">
      <text>
        <r>
          <rPr>
            <b/>
            <sz val="16"/>
            <color indexed="81"/>
            <rFont val="ＭＳ Ｐゴシック"/>
            <family val="3"/>
            <charset val="128"/>
          </rPr>
          <t>ここに収入金額を入力してください</t>
        </r>
      </text>
    </comment>
    <comment ref="F3" authorId="0" shapeId="0" xr:uid="{00000000-0006-0000-0200-000002000000}">
      <text>
        <r>
          <rPr>
            <b/>
            <sz val="16"/>
            <color indexed="81"/>
            <rFont val="ＭＳ Ｐゴシック"/>
            <family val="3"/>
            <charset val="128"/>
          </rPr>
          <t>ここに年齢を入力してください</t>
        </r>
      </text>
    </comment>
  </commentList>
</comments>
</file>

<file path=xl/sharedStrings.xml><?xml version="1.0" encoding="utf-8"?>
<sst xmlns="http://schemas.openxmlformats.org/spreadsheetml/2006/main" count="276" uniqueCount="141">
  <si>
    <t>給与等の収入金額</t>
    <rPh sb="0" eb="2">
      <t>キュウヨ</t>
    </rPh>
    <rPh sb="2" eb="3">
      <t>トウ</t>
    </rPh>
    <rPh sb="4" eb="6">
      <t>シュウニュウ</t>
    </rPh>
    <rPh sb="6" eb="8">
      <t>キンガク</t>
    </rPh>
    <phoneticPr fontId="1"/>
  </si>
  <si>
    <t>円</t>
    <rPh sb="0" eb="1">
      <t>エン</t>
    </rPh>
    <phoneticPr fontId="1"/>
  </si>
  <si>
    <t>～</t>
    <phoneticPr fontId="1"/>
  </si>
  <si>
    <t>①</t>
    <phoneticPr fontId="1"/>
  </si>
  <si>
    <t>①　の　金　額</t>
    <rPh sb="4" eb="5">
      <t>キン</t>
    </rPh>
    <rPh sb="6" eb="7">
      <t>ガク</t>
    </rPh>
    <phoneticPr fontId="1"/>
  </si>
  <si>
    <t>給与所得の金額</t>
    <rPh sb="0" eb="2">
      <t>キュウヨ</t>
    </rPh>
    <rPh sb="2" eb="4">
      <t>ショトク</t>
    </rPh>
    <rPh sb="5" eb="7">
      <t>キンガク</t>
    </rPh>
    <phoneticPr fontId="1"/>
  </si>
  <si>
    <t>算出方法</t>
    <rPh sb="0" eb="2">
      <t>サンシュツ</t>
    </rPh>
    <rPh sb="2" eb="4">
      <t>ホウホウ</t>
    </rPh>
    <phoneticPr fontId="1"/>
  </si>
  <si>
    <t>0円</t>
    <rPh sb="1" eb="2">
      <t>エン</t>
    </rPh>
    <phoneticPr fontId="1"/>
  </si>
  <si>
    <t>公的年金等の収入金額</t>
    <rPh sb="0" eb="2">
      <t>コウテキ</t>
    </rPh>
    <rPh sb="2" eb="5">
      <t>ネンキントウ</t>
    </rPh>
    <rPh sb="6" eb="8">
      <t>シュウニュウ</t>
    </rPh>
    <rPh sb="8" eb="10">
      <t>キンガク</t>
    </rPh>
    <phoneticPr fontId="1"/>
  </si>
  <si>
    <t>雑所得の金額</t>
    <rPh sb="0" eb="1">
      <t>ザツ</t>
    </rPh>
    <rPh sb="1" eb="3">
      <t>ショトク</t>
    </rPh>
    <rPh sb="4" eb="6">
      <t>キンガク</t>
    </rPh>
    <phoneticPr fontId="1"/>
  </si>
  <si>
    <t>65歳以上の方の計算</t>
    <rPh sb="2" eb="5">
      <t>サイイジョウ</t>
    </rPh>
    <rPh sb="6" eb="7">
      <t>カタ</t>
    </rPh>
    <rPh sb="8" eb="10">
      <t>ケイサン</t>
    </rPh>
    <phoneticPr fontId="1"/>
  </si>
  <si>
    <t>歳</t>
    <rPh sb="0" eb="1">
      <t>サイ</t>
    </rPh>
    <phoneticPr fontId="1"/>
  </si>
  <si>
    <t>その年の１２月３１日時点の年齢</t>
    <rPh sb="2" eb="3">
      <t>トシ</t>
    </rPh>
    <rPh sb="6" eb="7">
      <t>ガツ</t>
    </rPh>
    <rPh sb="9" eb="10">
      <t>ニチ</t>
    </rPh>
    <rPh sb="10" eb="12">
      <t>ジテン</t>
    </rPh>
    <rPh sb="13" eb="15">
      <t>ネンレイ</t>
    </rPh>
    <phoneticPr fontId="1"/>
  </si>
  <si>
    <t>氏名</t>
    <rPh sb="0" eb="2">
      <t>シメイ</t>
    </rPh>
    <phoneticPr fontId="5"/>
  </si>
  <si>
    <t>年齢</t>
    <rPh sb="0" eb="2">
      <t>ネンレイ</t>
    </rPh>
    <phoneticPr fontId="5"/>
  </si>
  <si>
    <t>基準総所得</t>
    <rPh sb="0" eb="2">
      <t>キジュン</t>
    </rPh>
    <rPh sb="2" eb="5">
      <t>ソウショトク</t>
    </rPh>
    <phoneticPr fontId="5"/>
  </si>
  <si>
    <t>介護該当</t>
    <rPh sb="0" eb="2">
      <t>カイゴ</t>
    </rPh>
    <rPh sb="2" eb="4">
      <t>ガイトウ</t>
    </rPh>
    <phoneticPr fontId="5"/>
  </si>
  <si>
    <t>世帯主が国民健康保険に加入しますか？（１＝はい、2＝いいえ）</t>
    <rPh sb="0" eb="3">
      <t>セタイヌシ</t>
    </rPh>
    <rPh sb="4" eb="10">
      <t>コクホ</t>
    </rPh>
    <rPh sb="11" eb="13">
      <t>カニュウ</t>
    </rPh>
    <phoneticPr fontId="5"/>
  </si>
  <si>
    <t>Q3</t>
    <phoneticPr fontId="5"/>
  </si>
  <si>
    <t>【算定結果】</t>
    <rPh sb="1" eb="3">
      <t>サンテイ</t>
    </rPh>
    <rPh sb="3" eb="5">
      <t>ケッカ</t>
    </rPh>
    <phoneticPr fontId="5"/>
  </si>
  <si>
    <t>被保険者数</t>
    <rPh sb="0" eb="4">
      <t>ヒホケンシャ</t>
    </rPh>
    <rPh sb="4" eb="5">
      <t>スウ</t>
    </rPh>
    <phoneticPr fontId="5"/>
  </si>
  <si>
    <t>課税対象所得</t>
    <rPh sb="0" eb="2">
      <t>カゼイ</t>
    </rPh>
    <rPh sb="2" eb="4">
      <t>タイショウ</t>
    </rPh>
    <rPh sb="4" eb="6">
      <t>ショトク</t>
    </rPh>
    <phoneticPr fontId="5"/>
  </si>
  <si>
    <t>医療分</t>
    <rPh sb="0" eb="2">
      <t>イリョウ</t>
    </rPh>
    <rPh sb="2" eb="3">
      <t>ブン</t>
    </rPh>
    <phoneticPr fontId="5"/>
  </si>
  <si>
    <t>後期分</t>
    <rPh sb="0" eb="2">
      <t>コウキ</t>
    </rPh>
    <rPh sb="2" eb="3">
      <t>ブン</t>
    </rPh>
    <phoneticPr fontId="5"/>
  </si>
  <si>
    <t>介護分</t>
    <rPh sb="0" eb="2">
      <t>カイゴ</t>
    </rPh>
    <rPh sb="2" eb="3">
      <t>ブン</t>
    </rPh>
    <phoneticPr fontId="5"/>
  </si>
  <si>
    <t>軽減判定</t>
    <rPh sb="0" eb="2">
      <t>ケイゲン</t>
    </rPh>
    <rPh sb="2" eb="4">
      <t>ハンテイ</t>
    </rPh>
    <phoneticPr fontId="5"/>
  </si>
  <si>
    <t>税率</t>
    <rPh sb="0" eb="2">
      <t>ゼイリツ</t>
    </rPh>
    <phoneticPr fontId="5"/>
  </si>
  <si>
    <t>区分</t>
    <rPh sb="0" eb="2">
      <t>クブン</t>
    </rPh>
    <phoneticPr fontId="5"/>
  </si>
  <si>
    <t>所得割</t>
    <rPh sb="0" eb="2">
      <t>ショトク</t>
    </rPh>
    <rPh sb="2" eb="3">
      <t>ワリ</t>
    </rPh>
    <phoneticPr fontId="5"/>
  </si>
  <si>
    <t>均等割</t>
    <rPh sb="0" eb="3">
      <t>キントウワ</t>
    </rPh>
    <phoneticPr fontId="5"/>
  </si>
  <si>
    <t>平等割</t>
    <rPh sb="0" eb="2">
      <t>ビョウドウ</t>
    </rPh>
    <rPh sb="2" eb="3">
      <t>ワリ</t>
    </rPh>
    <phoneticPr fontId="5"/>
  </si>
  <si>
    <t>均等割軽減額</t>
    <rPh sb="0" eb="3">
      <t>キントウワ</t>
    </rPh>
    <rPh sb="3" eb="5">
      <t>ケイゲン</t>
    </rPh>
    <rPh sb="5" eb="6">
      <t>ガク</t>
    </rPh>
    <phoneticPr fontId="5"/>
  </si>
  <si>
    <t>課税限度額</t>
    <rPh sb="0" eb="2">
      <t>カゼイ</t>
    </rPh>
    <rPh sb="2" eb="4">
      <t>ゲンド</t>
    </rPh>
    <rPh sb="4" eb="5">
      <t>ガク</t>
    </rPh>
    <phoneticPr fontId="5"/>
  </si>
  <si>
    <t>平等割軽減額</t>
    <rPh sb="0" eb="2">
      <t>ビョウドウ</t>
    </rPh>
    <rPh sb="2" eb="3">
      <t>ワリ</t>
    </rPh>
    <rPh sb="3" eb="5">
      <t>ケイゲン</t>
    </rPh>
    <rPh sb="5" eb="6">
      <t>ガク</t>
    </rPh>
    <phoneticPr fontId="5"/>
  </si>
  <si>
    <t>限度超過額</t>
    <rPh sb="0" eb="2">
      <t>ゲンド</t>
    </rPh>
    <rPh sb="2" eb="5">
      <t>チョウカガク</t>
    </rPh>
    <phoneticPr fontId="5"/>
  </si>
  <si>
    <t>算定額</t>
    <rPh sb="0" eb="2">
      <t>サンテイ</t>
    </rPh>
    <rPh sb="2" eb="3">
      <t>ガク</t>
    </rPh>
    <phoneticPr fontId="5"/>
  </si>
  <si>
    <t>あなたの世帯の１年間の保険税額は</t>
    <rPh sb="14" eb="15">
      <t>ガク</t>
    </rPh>
    <phoneticPr fontId="5"/>
  </si>
  <si>
    <t>円です。</t>
    <rPh sb="0" eb="1">
      <t>エン</t>
    </rPh>
    <phoneticPr fontId="5"/>
  </si>
  <si>
    <t>1期あたりの保険税額は、約</t>
    <rPh sb="1" eb="2">
      <t>キ</t>
    </rPh>
    <phoneticPr fontId="5"/>
  </si>
  <si>
    <t>Q1</t>
    <phoneticPr fontId="5"/>
  </si>
  <si>
    <t>Q2</t>
    <phoneticPr fontId="5"/>
  </si>
  <si>
    <r>
      <t>世帯主が国民健康保険に加入しない場合には、</t>
    </r>
    <r>
      <rPr>
        <b/>
        <sz val="12"/>
        <color indexed="8"/>
        <rFont val="HGS創英角ｺﾞｼｯｸUB"/>
        <family val="3"/>
        <charset val="128"/>
      </rPr>
      <t>「</t>
    </r>
    <r>
      <rPr>
        <b/>
        <sz val="16"/>
        <color indexed="8"/>
        <rFont val="HGS創英角ｺﾞｼｯｸUB"/>
        <family val="3"/>
        <charset val="128"/>
      </rPr>
      <t>世帯主の所得」</t>
    </r>
    <r>
      <rPr>
        <sz val="12"/>
        <color indexed="8"/>
        <rFont val="HGS創英角ｺﾞｼｯｸUB"/>
        <family val="3"/>
        <charset val="128"/>
      </rPr>
      <t>を入力してください。</t>
    </r>
    <rPh sb="0" eb="3">
      <t>セタイヌシ</t>
    </rPh>
    <rPh sb="4" eb="10">
      <t>コクホ</t>
    </rPh>
    <rPh sb="11" eb="13">
      <t>カニュウ</t>
    </rPh>
    <rPh sb="16" eb="18">
      <t>バアイ</t>
    </rPh>
    <rPh sb="22" eb="25">
      <t>セタイヌシ</t>
    </rPh>
    <rPh sb="26" eb="28">
      <t>ショトク</t>
    </rPh>
    <rPh sb="30" eb="32">
      <t>ニュウリョク</t>
    </rPh>
    <phoneticPr fontId="5"/>
  </si>
  <si>
    <t>所得金額</t>
    <rPh sb="0" eb="2">
      <t>ショトク</t>
    </rPh>
    <rPh sb="2" eb="4">
      <t>キンガク</t>
    </rPh>
    <phoneticPr fontId="5"/>
  </si>
  <si>
    <t>軽減基準所得</t>
    <rPh sb="0" eb="2">
      <t>ケイゲン</t>
    </rPh>
    <rPh sb="2" eb="4">
      <t>キジュン</t>
    </rPh>
    <rPh sb="4" eb="6">
      <t>ショトク</t>
    </rPh>
    <phoneticPr fontId="5"/>
  </si>
  <si>
    <t>軽減割合</t>
    <rPh sb="0" eb="2">
      <t>ケイゲン</t>
    </rPh>
    <rPh sb="2" eb="4">
      <t>ワリアイ</t>
    </rPh>
    <phoneticPr fontId="5"/>
  </si>
  <si>
    <t>前年中の世帯総所得金額等（世帯主と国保加入者の所得の合計額）</t>
    <rPh sb="0" eb="2">
      <t>ゼンネン</t>
    </rPh>
    <rPh sb="2" eb="3">
      <t>チュウ</t>
    </rPh>
    <rPh sb="4" eb="6">
      <t>セタイ</t>
    </rPh>
    <rPh sb="6" eb="9">
      <t>ソウショトク</t>
    </rPh>
    <rPh sb="9" eb="11">
      <t>キンガク</t>
    </rPh>
    <rPh sb="11" eb="12">
      <t>トウ</t>
    </rPh>
    <rPh sb="13" eb="16">
      <t>セタイヌシ</t>
    </rPh>
    <rPh sb="17" eb="19">
      <t>コクホ</t>
    </rPh>
    <rPh sb="19" eb="22">
      <t>カニュウシャ</t>
    </rPh>
    <rPh sb="23" eb="25">
      <t>ショトク</t>
    </rPh>
    <rPh sb="26" eb="28">
      <t>ゴウケイ</t>
    </rPh>
    <rPh sb="28" eb="29">
      <t>ガク</t>
    </rPh>
    <phoneticPr fontId="5"/>
  </si>
  <si>
    <t>７割軽減</t>
    <rPh sb="1" eb="2">
      <t>ワ</t>
    </rPh>
    <rPh sb="2" eb="4">
      <t>ケイゲン</t>
    </rPh>
    <phoneticPr fontId="5"/>
  </si>
  <si>
    <t>５割軽減</t>
    <rPh sb="1" eb="2">
      <t>ワリ</t>
    </rPh>
    <rPh sb="2" eb="4">
      <t>ケイゲン</t>
    </rPh>
    <phoneticPr fontId="5"/>
  </si>
  <si>
    <t>２割軽減</t>
    <rPh sb="1" eb="2">
      <t>ワリ</t>
    </rPh>
    <rPh sb="2" eb="4">
      <t>ケイゲン</t>
    </rPh>
    <phoneticPr fontId="5"/>
  </si>
  <si>
    <t>1ヶ月あたりの保険税額は、約</t>
    <phoneticPr fontId="5"/>
  </si>
  <si>
    <t>保険税額は、7月から翌年2月までの8期で納めていただきますので、</t>
    <phoneticPr fontId="5"/>
  </si>
  <si>
    <t>支援金分</t>
    <rPh sb="0" eb="3">
      <t>シエンキン</t>
    </rPh>
    <rPh sb="3" eb="4">
      <t>ブン</t>
    </rPh>
    <phoneticPr fontId="5"/>
  </si>
  <si>
    <t>所得割</t>
    <rPh sb="0" eb="2">
      <t>ショトク</t>
    </rPh>
    <rPh sb="2" eb="3">
      <t>ワリ</t>
    </rPh>
    <phoneticPr fontId="1"/>
  </si>
  <si>
    <t>均等割</t>
    <rPh sb="0" eb="3">
      <t>キントウワリ</t>
    </rPh>
    <phoneticPr fontId="1"/>
  </si>
  <si>
    <t>平等割</t>
    <rPh sb="0" eb="2">
      <t>ビョウドウ</t>
    </rPh>
    <rPh sb="2" eb="3">
      <t>ワリ</t>
    </rPh>
    <phoneticPr fontId="1"/>
  </si>
  <si>
    <t>給与収入の場合</t>
    <rPh sb="0" eb="2">
      <t>キュウヨ</t>
    </rPh>
    <rPh sb="2" eb="4">
      <t>シュウニュウ</t>
    </rPh>
    <rPh sb="5" eb="7">
      <t>バアイ</t>
    </rPh>
    <phoneticPr fontId="1"/>
  </si>
  <si>
    <t>【①所得割】</t>
    <rPh sb="2" eb="4">
      <t>ショトク</t>
    </rPh>
    <rPh sb="4" eb="5">
      <t>ワリ</t>
    </rPh>
    <phoneticPr fontId="1"/>
  </si>
  <si>
    <t>収入金額</t>
    <rPh sb="0" eb="2">
      <t>シュウニュウ</t>
    </rPh>
    <rPh sb="2" eb="3">
      <t>キン</t>
    </rPh>
    <rPh sb="3" eb="4">
      <t>ガク</t>
    </rPh>
    <phoneticPr fontId="1"/>
  </si>
  <si>
    <t>所得金額</t>
    <rPh sb="0" eb="2">
      <t>ショトク</t>
    </rPh>
    <rPh sb="2" eb="3">
      <t>キン</t>
    </rPh>
    <rPh sb="3" eb="4">
      <t>ガク</t>
    </rPh>
    <phoneticPr fontId="1"/>
  </si>
  <si>
    <t>基準総所得金額</t>
    <rPh sb="0" eb="2">
      <t>キジュン</t>
    </rPh>
    <rPh sb="2" eb="5">
      <t>ソウショトク</t>
    </rPh>
    <rPh sb="5" eb="7">
      <t>キンガク</t>
    </rPh>
    <phoneticPr fontId="1"/>
  </si>
  <si>
    <t>保　険　税　額</t>
    <rPh sb="0" eb="1">
      <t>ホ</t>
    </rPh>
    <rPh sb="2" eb="3">
      <t>ケン</t>
    </rPh>
    <rPh sb="4" eb="5">
      <t>ゼイ</t>
    </rPh>
    <rPh sb="6" eb="7">
      <t>ガク</t>
    </rPh>
    <phoneticPr fontId="1"/>
  </si>
  <si>
    <t>医療分</t>
    <rPh sb="0" eb="2">
      <t>イリョウ</t>
    </rPh>
    <rPh sb="2" eb="3">
      <t>ブン</t>
    </rPh>
    <phoneticPr fontId="1"/>
  </si>
  <si>
    <t>支援金分</t>
    <rPh sb="0" eb="3">
      <t>シエンキン</t>
    </rPh>
    <rPh sb="3" eb="4">
      <t>ブン</t>
    </rPh>
    <phoneticPr fontId="1"/>
  </si>
  <si>
    <r>
      <t xml:space="preserve">介護分
</t>
    </r>
    <r>
      <rPr>
        <sz val="11"/>
        <color theme="1"/>
        <rFont val="メイリオ"/>
        <family val="3"/>
        <charset val="128"/>
      </rPr>
      <t>（40～64歳）</t>
    </r>
    <rPh sb="0" eb="2">
      <t>カイゴ</t>
    </rPh>
    <rPh sb="2" eb="3">
      <t>ブン</t>
    </rPh>
    <rPh sb="10" eb="11">
      <t>サイ</t>
    </rPh>
    <phoneticPr fontId="1"/>
  </si>
  <si>
    <t>合計</t>
    <rPh sb="0" eb="2">
      <t>ゴウケイ</t>
    </rPh>
    <phoneticPr fontId="1"/>
  </si>
  <si>
    <t>被保険者数</t>
    <rPh sb="0" eb="4">
      <t>ヒホケンシャ</t>
    </rPh>
    <rPh sb="4" eb="5">
      <t>スウ</t>
    </rPh>
    <phoneticPr fontId="1"/>
  </si>
  <si>
    <t>1世帯あたり</t>
    <rPh sb="1" eb="3">
      <t>セタイ</t>
    </rPh>
    <phoneticPr fontId="1"/>
  </si>
  <si>
    <t>７割軽減</t>
    <rPh sb="1" eb="2">
      <t>ワ</t>
    </rPh>
    <rPh sb="2" eb="4">
      <t>ケイゲン</t>
    </rPh>
    <phoneticPr fontId="1"/>
  </si>
  <si>
    <t>５割軽減</t>
    <rPh sb="1" eb="2">
      <t>ワリ</t>
    </rPh>
    <rPh sb="2" eb="4">
      <t>ケイゲン</t>
    </rPh>
    <phoneticPr fontId="1"/>
  </si>
  <si>
    <t>２割軽減</t>
    <rPh sb="1" eb="2">
      <t>ワリ</t>
    </rPh>
    <rPh sb="2" eb="4">
      <t>ケイゲン</t>
    </rPh>
    <phoneticPr fontId="1"/>
  </si>
  <si>
    <t>国民健康保険加入者の「氏名」・「年齢」・「所得金額」を個別に入力してください。</t>
    <rPh sb="0" eb="6">
      <t>コクホ</t>
    </rPh>
    <rPh sb="6" eb="9">
      <t>カニュウシャ</t>
    </rPh>
    <rPh sb="11" eb="13">
      <t>シメイ</t>
    </rPh>
    <rPh sb="16" eb="18">
      <t>ネンレイ</t>
    </rPh>
    <rPh sb="21" eb="23">
      <t>ショトク</t>
    </rPh>
    <rPh sb="23" eb="24">
      <t>キン</t>
    </rPh>
    <rPh sb="24" eb="25">
      <t>ガク</t>
    </rPh>
    <rPh sb="27" eb="29">
      <t>コベツ</t>
    </rPh>
    <rPh sb="30" eb="32">
      <t>ニュウリョク</t>
    </rPh>
    <phoneticPr fontId="5"/>
  </si>
  <si>
    <t>【②均等割】</t>
    <rPh sb="2" eb="5">
      <t>キントウワ</t>
    </rPh>
    <phoneticPr fontId="1"/>
  </si>
  <si>
    <t>【③平等割】</t>
    <rPh sb="2" eb="4">
      <t>ビョウドウ</t>
    </rPh>
    <rPh sb="4" eb="5">
      <t>ワリ</t>
    </rPh>
    <phoneticPr fontId="1"/>
  </si>
  <si>
    <t>①×0.9－1,100,000円</t>
    <rPh sb="15" eb="16">
      <t>エン</t>
    </rPh>
    <phoneticPr fontId="1"/>
  </si>
  <si>
    <t>①－1,950,000円</t>
    <rPh sb="11" eb="12">
      <t>エン</t>
    </rPh>
    <phoneticPr fontId="1"/>
  </si>
  <si>
    <t>所得金額調整控除</t>
    <rPh sb="0" eb="2">
      <t>ショトク</t>
    </rPh>
    <rPh sb="2" eb="4">
      <t>キンガク</t>
    </rPh>
    <rPh sb="4" eb="6">
      <t>チョウセイ</t>
    </rPh>
    <rPh sb="6" eb="8">
      <t>コウジョ</t>
    </rPh>
    <phoneticPr fontId="1"/>
  </si>
  <si>
    <t>22歳以下の扶養親族を有する</t>
    <rPh sb="2" eb="3">
      <t>サイ</t>
    </rPh>
    <rPh sb="3" eb="5">
      <t>イカ</t>
    </rPh>
    <rPh sb="6" eb="8">
      <t>フヨウ</t>
    </rPh>
    <rPh sb="8" eb="10">
      <t>シンゾク</t>
    </rPh>
    <rPh sb="11" eb="12">
      <t>ユウ</t>
    </rPh>
    <phoneticPr fontId="1"/>
  </si>
  <si>
    <t>特別障害者である同一生計配偶者を有する</t>
    <rPh sb="0" eb="2">
      <t>トクベツ</t>
    </rPh>
    <rPh sb="2" eb="5">
      <t>ショウガイシャ</t>
    </rPh>
    <rPh sb="8" eb="10">
      <t>ドウイツ</t>
    </rPh>
    <rPh sb="10" eb="12">
      <t>セイケイ</t>
    </rPh>
    <rPh sb="12" eb="15">
      <t>ハイグウシャ</t>
    </rPh>
    <rPh sb="16" eb="17">
      <t>ユウ</t>
    </rPh>
    <phoneticPr fontId="1"/>
  </si>
  <si>
    <t>特別障害者である扶養親族を有する</t>
    <rPh sb="0" eb="2">
      <t>トクベツ</t>
    </rPh>
    <rPh sb="2" eb="5">
      <t>ショウガイシャ</t>
    </rPh>
    <rPh sb="8" eb="10">
      <t>フヨウ</t>
    </rPh>
    <rPh sb="10" eb="12">
      <t>シンゾク</t>
    </rPh>
    <rPh sb="13" eb="14">
      <t>ユウ</t>
    </rPh>
    <phoneticPr fontId="1"/>
  </si>
  <si>
    <t>（給与等の収入金額－850万円）×0.1</t>
    <rPh sb="1" eb="3">
      <t>キュウヨ</t>
    </rPh>
    <rPh sb="3" eb="4">
      <t>トウ</t>
    </rPh>
    <rPh sb="5" eb="7">
      <t>シュウニュウ</t>
    </rPh>
    <rPh sb="7" eb="9">
      <t>キンガク</t>
    </rPh>
    <rPh sb="13" eb="15">
      <t>マンエン</t>
    </rPh>
    <phoneticPr fontId="1"/>
  </si>
  <si>
    <t>所得額</t>
    <rPh sb="0" eb="2">
      <t>ショトク</t>
    </rPh>
    <rPh sb="2" eb="3">
      <t>ガク</t>
    </rPh>
    <phoneticPr fontId="1"/>
  </si>
  <si>
    <t>①－600,000円</t>
    <rPh sb="9" eb="10">
      <t>エン</t>
    </rPh>
    <phoneticPr fontId="1"/>
  </si>
  <si>
    <t>①×0.75－275,000円</t>
    <rPh sb="14" eb="15">
      <t>エン</t>
    </rPh>
    <phoneticPr fontId="1"/>
  </si>
  <si>
    <t>①×0.85－685,000円</t>
    <rPh sb="14" eb="15">
      <t>エン</t>
    </rPh>
    <phoneticPr fontId="1"/>
  </si>
  <si>
    <t>①×0.95－1,455,000円</t>
    <rPh sb="16" eb="17">
      <t>エン</t>
    </rPh>
    <phoneticPr fontId="1"/>
  </si>
  <si>
    <t>①－1,955,000円</t>
    <rPh sb="11" eb="12">
      <t>エン</t>
    </rPh>
    <phoneticPr fontId="1"/>
  </si>
  <si>
    <t>円</t>
    <rPh sb="0" eb="1">
      <t>エン</t>
    </rPh>
    <phoneticPr fontId="1"/>
  </si>
  <si>
    <t>所得金額調整控除額計算（年収850万超の場合のみお答えください）</t>
    <rPh sb="0" eb="2">
      <t>ショトク</t>
    </rPh>
    <rPh sb="2" eb="4">
      <t>キンガク</t>
    </rPh>
    <rPh sb="4" eb="6">
      <t>チョウセイ</t>
    </rPh>
    <rPh sb="6" eb="8">
      <t>コウジョ</t>
    </rPh>
    <rPh sb="8" eb="9">
      <t>ガク</t>
    </rPh>
    <rPh sb="9" eb="11">
      <t>ケイサン</t>
    </rPh>
    <rPh sb="12" eb="14">
      <t>ネンシュウ</t>
    </rPh>
    <rPh sb="17" eb="18">
      <t>マン</t>
    </rPh>
    <rPh sb="18" eb="19">
      <t>チョウ</t>
    </rPh>
    <rPh sb="20" eb="22">
      <t>バアイ</t>
    </rPh>
    <rPh sb="25" eb="26">
      <t>コタ</t>
    </rPh>
    <phoneticPr fontId="1"/>
  </si>
  <si>
    <t>自分が特別障害者に該当する</t>
    <rPh sb="0" eb="2">
      <t>ジブン</t>
    </rPh>
    <rPh sb="3" eb="5">
      <t>トクベツ</t>
    </rPh>
    <rPh sb="5" eb="8">
      <t>ショウガイシャ</t>
    </rPh>
    <rPh sb="9" eb="11">
      <t>ガイトウ</t>
    </rPh>
    <phoneticPr fontId="1"/>
  </si>
  <si>
    <t>給与等の所得金額(調整控除反映後）</t>
    <rPh sb="0" eb="2">
      <t>キュウヨ</t>
    </rPh>
    <rPh sb="2" eb="3">
      <t>トウ</t>
    </rPh>
    <rPh sb="4" eb="6">
      <t>ショトク</t>
    </rPh>
    <rPh sb="6" eb="8">
      <t>キンガク</t>
    </rPh>
    <rPh sb="9" eb="11">
      <t>チョウセイ</t>
    </rPh>
    <rPh sb="11" eb="13">
      <t>コウジョ</t>
    </rPh>
    <rPh sb="13" eb="15">
      <t>ハンエイ</t>
    </rPh>
    <rPh sb="15" eb="16">
      <t>ゴ</t>
    </rPh>
    <phoneticPr fontId="1"/>
  </si>
  <si>
    <t>65歳未満の方の計算</t>
    <rPh sb="2" eb="5">
      <t>サイミマン</t>
    </rPh>
    <rPh sb="6" eb="7">
      <t>カタ</t>
    </rPh>
    <rPh sb="8" eb="10">
      <t>ケイサン</t>
    </rPh>
    <phoneticPr fontId="1"/>
  </si>
  <si>
    <t>①－500,000円</t>
    <rPh sb="9" eb="10">
      <t>エン</t>
    </rPh>
    <phoneticPr fontId="1"/>
  </si>
  <si>
    <t>①×0.75－175,000円</t>
    <rPh sb="14" eb="15">
      <t>エン</t>
    </rPh>
    <phoneticPr fontId="1"/>
  </si>
  <si>
    <t>①×0.85－585,000円</t>
    <rPh sb="14" eb="15">
      <t>エン</t>
    </rPh>
    <phoneticPr fontId="1"/>
  </si>
  <si>
    <t>①×0.95－1,355,000円</t>
    <rPh sb="16" eb="17">
      <t>エン</t>
    </rPh>
    <phoneticPr fontId="1"/>
  </si>
  <si>
    <t>①－1,855,000円</t>
    <rPh sb="11" eb="12">
      <t>エン</t>
    </rPh>
    <phoneticPr fontId="1"/>
  </si>
  <si>
    <t>①－1,000,000円</t>
    <rPh sb="11" eb="12">
      <t>エン</t>
    </rPh>
    <phoneticPr fontId="1"/>
  </si>
  <si>
    <t>①－400,000円</t>
    <rPh sb="9" eb="10">
      <t>エン</t>
    </rPh>
    <phoneticPr fontId="1"/>
  </si>
  <si>
    <t>①×0.75－75,000円</t>
    <rPh sb="13" eb="14">
      <t>エン</t>
    </rPh>
    <phoneticPr fontId="1"/>
  </si>
  <si>
    <t>①×0.85－485,000円</t>
    <rPh sb="14" eb="15">
      <t>エン</t>
    </rPh>
    <phoneticPr fontId="1"/>
  </si>
  <si>
    <t>①×0.95－1,255,000円</t>
    <rPh sb="16" eb="17">
      <t>エン</t>
    </rPh>
    <phoneticPr fontId="1"/>
  </si>
  <si>
    <t>①－1,755,000円</t>
    <rPh sb="11" eb="12">
      <t>エン</t>
    </rPh>
    <phoneticPr fontId="1"/>
  </si>
  <si>
    <t>①－900,000円</t>
    <rPh sb="9" eb="10">
      <t>エン</t>
    </rPh>
    <phoneticPr fontId="1"/>
  </si>
  <si>
    <t>公的年金以外の合計所得が1,000万以下の場合</t>
    <rPh sb="0" eb="2">
      <t>コウテキ</t>
    </rPh>
    <rPh sb="2" eb="4">
      <t>ネンキン</t>
    </rPh>
    <rPh sb="4" eb="6">
      <t>イガイ</t>
    </rPh>
    <rPh sb="7" eb="9">
      <t>ゴウケイ</t>
    </rPh>
    <rPh sb="9" eb="11">
      <t>ショトク</t>
    </rPh>
    <rPh sb="17" eb="18">
      <t>マン</t>
    </rPh>
    <rPh sb="18" eb="20">
      <t>イカ</t>
    </rPh>
    <rPh sb="21" eb="23">
      <t>バアイ</t>
    </rPh>
    <phoneticPr fontId="1"/>
  </si>
  <si>
    <t>1,000万～2,000万円の場合</t>
    <rPh sb="5" eb="6">
      <t>マン</t>
    </rPh>
    <rPh sb="12" eb="13">
      <t>マン</t>
    </rPh>
    <rPh sb="13" eb="14">
      <t>エン</t>
    </rPh>
    <rPh sb="15" eb="17">
      <t>バアイ</t>
    </rPh>
    <phoneticPr fontId="1"/>
  </si>
  <si>
    <t>2,001万円～</t>
    <rPh sb="5" eb="6">
      <t>マン</t>
    </rPh>
    <rPh sb="6" eb="7">
      <t>エン</t>
    </rPh>
    <phoneticPr fontId="1"/>
  </si>
  <si>
    <t>①－1,100,000円</t>
    <rPh sb="3" eb="12">
      <t>１０００００エン</t>
    </rPh>
    <phoneticPr fontId="1"/>
  </si>
  <si>
    <t>円</t>
    <phoneticPr fontId="1"/>
  </si>
  <si>
    <t>給与所得</t>
    <rPh sb="0" eb="2">
      <t>キュウヨ</t>
    </rPh>
    <rPh sb="2" eb="4">
      <t>ショトク</t>
    </rPh>
    <phoneticPr fontId="5"/>
  </si>
  <si>
    <t>年金所得</t>
    <rPh sb="0" eb="2">
      <t>ネンキン</t>
    </rPh>
    <rPh sb="2" eb="4">
      <t>ショトク</t>
    </rPh>
    <phoneticPr fontId="5"/>
  </si>
  <si>
    <t>その他所得金額</t>
    <rPh sb="2" eb="3">
      <t>タ</t>
    </rPh>
    <rPh sb="3" eb="5">
      <t>ショトク</t>
    </rPh>
    <rPh sb="5" eb="6">
      <t>キン</t>
    </rPh>
    <rPh sb="6" eb="7">
      <t>ガク</t>
    </rPh>
    <phoneticPr fontId="1"/>
  </si>
  <si>
    <t>合計所得金額</t>
    <rPh sb="0" eb="2">
      <t>ゴウケイ</t>
    </rPh>
    <rPh sb="2" eb="4">
      <t>ショトク</t>
    </rPh>
    <rPh sb="4" eb="6">
      <t>キンガク</t>
    </rPh>
    <phoneticPr fontId="1"/>
  </si>
  <si>
    <t>人数</t>
    <rPh sb="0" eb="2">
      <t>ニンズウ</t>
    </rPh>
    <phoneticPr fontId="5"/>
  </si>
  <si>
    <r>
      <rPr>
        <b/>
        <sz val="12"/>
        <color indexed="8"/>
        <rFont val="HGS創英角ｺﾞｼｯｸUB"/>
        <family val="3"/>
        <charset val="128"/>
      </rPr>
      <t>「</t>
    </r>
    <r>
      <rPr>
        <b/>
        <sz val="16"/>
        <color indexed="8"/>
        <rFont val="HGS創英角ｺﾞｼｯｸUB"/>
        <family val="3"/>
        <charset val="128"/>
      </rPr>
      <t>給与所得者・年金所得者の人数]</t>
    </r>
    <r>
      <rPr>
        <sz val="12"/>
        <color indexed="8"/>
        <rFont val="HGS創英角ｺﾞｼｯｸUB"/>
        <family val="3"/>
        <charset val="128"/>
      </rPr>
      <t>（擬制世帯主を含む）</t>
    </r>
    <rPh sb="1" eb="3">
      <t>キュウヨ</t>
    </rPh>
    <rPh sb="3" eb="5">
      <t>ショトク</t>
    </rPh>
    <rPh sb="5" eb="6">
      <t>シャ</t>
    </rPh>
    <rPh sb="7" eb="9">
      <t>ネンキン</t>
    </rPh>
    <rPh sb="9" eb="11">
      <t>ショトク</t>
    </rPh>
    <rPh sb="11" eb="12">
      <t>シャ</t>
    </rPh>
    <rPh sb="13" eb="15">
      <t>ニンズウ</t>
    </rPh>
    <rPh sb="17" eb="19">
      <t>ギセイ</t>
    </rPh>
    <rPh sb="19" eb="22">
      <t>セタイヌシ</t>
    </rPh>
    <rPh sb="23" eb="24">
      <t>フク</t>
    </rPh>
    <phoneticPr fontId="5"/>
  </si>
  <si>
    <t>円</t>
    <rPh sb="0" eb="1">
      <t>エン</t>
    </rPh>
    <phoneticPr fontId="1"/>
  </si>
  <si>
    <t>その他の合計所得金額</t>
    <rPh sb="2" eb="3">
      <t>タ</t>
    </rPh>
    <rPh sb="4" eb="6">
      <t>ゴウケイ</t>
    </rPh>
    <rPh sb="6" eb="8">
      <t>ショトク</t>
    </rPh>
    <rPh sb="8" eb="10">
      <t>キンガク</t>
    </rPh>
    <phoneticPr fontId="1"/>
  </si>
  <si>
    <t>調整控除</t>
    <rPh sb="0" eb="2">
      <t>チョウセイ</t>
    </rPh>
    <rPh sb="2" eb="4">
      <t>コウジョ</t>
    </rPh>
    <phoneticPr fontId="1"/>
  </si>
  <si>
    <t>※特定同一所属者とは、同一世帯で、後期高齢者医療制度へ移行したことにより、国保の資格を喪失した方。</t>
    <rPh sb="1" eb="3">
      <t>トクテイ</t>
    </rPh>
    <rPh sb="3" eb="5">
      <t>ドウイツ</t>
    </rPh>
    <rPh sb="5" eb="7">
      <t>ショゾク</t>
    </rPh>
    <rPh sb="7" eb="8">
      <t>シャ</t>
    </rPh>
    <rPh sb="11" eb="13">
      <t>ドウイツ</t>
    </rPh>
    <rPh sb="13" eb="15">
      <t>セタイ</t>
    </rPh>
    <rPh sb="17" eb="19">
      <t>コウキ</t>
    </rPh>
    <rPh sb="19" eb="22">
      <t>コウレイシャ</t>
    </rPh>
    <rPh sb="22" eb="24">
      <t>イリョウ</t>
    </rPh>
    <rPh sb="24" eb="26">
      <t>セイド</t>
    </rPh>
    <rPh sb="27" eb="29">
      <t>イコウ</t>
    </rPh>
    <rPh sb="37" eb="39">
      <t>コクホ</t>
    </rPh>
    <rPh sb="40" eb="42">
      <t>シカク</t>
    </rPh>
    <phoneticPr fontId="5"/>
  </si>
  <si>
    <t>円</t>
    <rPh sb="0" eb="1">
      <t>エン</t>
    </rPh>
    <phoneticPr fontId="1"/>
  </si>
  <si>
    <t>雑所得金額</t>
    <rPh sb="0" eb="3">
      <t>ザツショトク</t>
    </rPh>
    <rPh sb="3" eb="5">
      <t>キンガク</t>
    </rPh>
    <phoneticPr fontId="1"/>
  </si>
  <si>
    <t>なし</t>
    <phoneticPr fontId="1"/>
  </si>
  <si>
    <t>年金控除額</t>
    <rPh sb="0" eb="2">
      <t>ネンキン</t>
    </rPh>
    <rPh sb="2" eb="4">
      <t>コウジョ</t>
    </rPh>
    <rPh sb="4" eb="5">
      <t>ガク</t>
    </rPh>
    <phoneticPr fontId="1"/>
  </si>
  <si>
    <t>非該当</t>
    <phoneticPr fontId="1"/>
  </si>
  <si>
    <t>※給与所得者とは一定の給与所得者と公的年金等の支給を受ける方。</t>
    <rPh sb="1" eb="3">
      <t>キュウヨ</t>
    </rPh>
    <rPh sb="3" eb="5">
      <t>ショトク</t>
    </rPh>
    <rPh sb="5" eb="6">
      <t>シャ</t>
    </rPh>
    <rPh sb="8" eb="10">
      <t>イッテイ</t>
    </rPh>
    <rPh sb="11" eb="13">
      <t>キュウヨ</t>
    </rPh>
    <rPh sb="13" eb="15">
      <t>ショトク</t>
    </rPh>
    <rPh sb="15" eb="16">
      <t>シャ</t>
    </rPh>
    <rPh sb="17" eb="19">
      <t>コウテキ</t>
    </rPh>
    <rPh sb="19" eb="21">
      <t>ネンキン</t>
    </rPh>
    <rPh sb="21" eb="22">
      <t>トウ</t>
    </rPh>
    <rPh sb="23" eb="25">
      <t>シキュウ</t>
    </rPh>
    <rPh sb="26" eb="27">
      <t>ウ</t>
    </rPh>
    <rPh sb="29" eb="30">
      <t>カタ</t>
    </rPh>
    <phoneticPr fontId="5"/>
  </si>
  <si>
    <t>こども均等割軽減</t>
    <rPh sb="3" eb="6">
      <t>キントウワ</t>
    </rPh>
    <rPh sb="6" eb="8">
      <t>ケイゲン</t>
    </rPh>
    <phoneticPr fontId="1"/>
  </si>
  <si>
    <t>うち未就学児</t>
    <rPh sb="2" eb="6">
      <t>ミシュウガクジ</t>
    </rPh>
    <phoneticPr fontId="1"/>
  </si>
  <si>
    <t>あくまで試算ですので、加入後の決定通知書で金額をご確認ください。</t>
    <rPh sb="4" eb="6">
      <t>シサン</t>
    </rPh>
    <rPh sb="11" eb="14">
      <t>カニュウゴ</t>
    </rPh>
    <rPh sb="15" eb="17">
      <t>ケッテイ</t>
    </rPh>
    <rPh sb="17" eb="20">
      <t>ツウチショ</t>
    </rPh>
    <rPh sb="21" eb="23">
      <t>キンガク</t>
    </rPh>
    <rPh sb="25" eb="27">
      <t>カクニン</t>
    </rPh>
    <phoneticPr fontId="1"/>
  </si>
  <si>
    <t>令和8年度韮崎市国民健康税試算表</t>
    <rPh sb="0" eb="2">
      <t>レイワ</t>
    </rPh>
    <rPh sb="3" eb="4">
      <t>ド</t>
    </rPh>
    <rPh sb="4" eb="7">
      <t>ニラサキシ</t>
    </rPh>
    <rPh sb="7" eb="9">
      <t>コクミン</t>
    </rPh>
    <rPh sb="9" eb="11">
      <t>ケンコウ</t>
    </rPh>
    <rPh sb="11" eb="12">
      <t>ゼイ</t>
    </rPh>
    <rPh sb="12" eb="15">
      <t>シサンヒョウ</t>
    </rPh>
    <phoneticPr fontId="5"/>
  </si>
  <si>
    <t>①－650,000円</t>
    <rPh sb="9" eb="10">
      <t>エン</t>
    </rPh>
    <phoneticPr fontId="1"/>
  </si>
  <si>
    <t>子ども分</t>
    <rPh sb="0" eb="1">
      <t>コ</t>
    </rPh>
    <rPh sb="3" eb="4">
      <t>ブン</t>
    </rPh>
    <phoneticPr fontId="5"/>
  </si>
  <si>
    <t>課税限度額（令和8年度の予定額）</t>
    <rPh sb="0" eb="2">
      <t>カゼイ</t>
    </rPh>
    <rPh sb="2" eb="4">
      <t>ゲンド</t>
    </rPh>
    <rPh sb="4" eb="5">
      <t>ガク</t>
    </rPh>
    <rPh sb="6" eb="8">
      <t>レイワ</t>
    </rPh>
    <rPh sb="9" eb="11">
      <t>ネンド</t>
    </rPh>
    <rPh sb="12" eb="14">
      <t>ヨテイ</t>
    </rPh>
    <rPh sb="14" eb="15">
      <t>ガク</t>
    </rPh>
    <phoneticPr fontId="5"/>
  </si>
  <si>
    <t>※上記所得額は令和8年度の予定額となります。</t>
    <rPh sb="1" eb="3">
      <t>ジョウキ</t>
    </rPh>
    <rPh sb="3" eb="5">
      <t>ショトク</t>
    </rPh>
    <rPh sb="5" eb="6">
      <t>ガク</t>
    </rPh>
    <rPh sb="7" eb="9">
      <t>レイワ</t>
    </rPh>
    <rPh sb="10" eb="12">
      <t>ネンド</t>
    </rPh>
    <rPh sb="13" eb="15">
      <t>ヨテイ</t>
    </rPh>
    <rPh sb="15" eb="16">
      <t>ガク</t>
    </rPh>
    <phoneticPr fontId="1"/>
  </si>
  <si>
    <t>-</t>
    <phoneticPr fontId="1"/>
  </si>
  <si>
    <t>18歳以上均等割</t>
    <rPh sb="2" eb="5">
      <t>サイイジョウ</t>
    </rPh>
    <rPh sb="5" eb="8">
      <t>キントウワリ</t>
    </rPh>
    <phoneticPr fontId="1"/>
  </si>
  <si>
    <t>うち18歳以上</t>
    <rPh sb="4" eb="7">
      <t>サイイジョウ</t>
    </rPh>
    <phoneticPr fontId="1"/>
  </si>
  <si>
    <t>①÷4（千円未満の端数切り捨て）×3.2-440,000円</t>
    <rPh sb="28" eb="29">
      <t>エン</t>
    </rPh>
    <phoneticPr fontId="1"/>
  </si>
  <si>
    <t>①÷4（千円未満の端数切り捨て）×2.8-80,000円</t>
    <rPh sb="4" eb="8">
      <t>センエンミマン</t>
    </rPh>
    <rPh sb="9" eb="11">
      <t>ハスウ</t>
    </rPh>
    <rPh sb="11" eb="12">
      <t>キ</t>
    </rPh>
    <rPh sb="13" eb="14">
      <t>ス</t>
    </rPh>
    <rPh sb="27" eb="28">
      <t>エン</t>
    </rPh>
    <phoneticPr fontId="1"/>
  </si>
  <si>
    <t>18歳以上均等割</t>
    <rPh sb="2" eb="3">
      <t>サイ</t>
    </rPh>
    <rPh sb="3" eb="5">
      <t>イジョウ</t>
    </rPh>
    <rPh sb="5" eb="8">
      <t>キントウワリ</t>
    </rPh>
    <phoneticPr fontId="1"/>
  </si>
  <si>
    <t>-</t>
    <phoneticPr fontId="1"/>
  </si>
  <si>
    <t>【④18歳以上均等割】</t>
    <rPh sb="4" eb="7">
      <t>サイイジョウ</t>
    </rPh>
    <rPh sb="7" eb="10">
      <t>キントウワ</t>
    </rPh>
    <phoneticPr fontId="1"/>
  </si>
  <si>
    <t>18歳以上
被保険者数</t>
    <rPh sb="2" eb="5">
      <t>サイイジョウ</t>
    </rPh>
    <rPh sb="6" eb="10">
      <t>ヒホケンシャ</t>
    </rPh>
    <rPh sb="10" eb="11">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</si>
</sst>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quot;%&quot;"/>
    <numFmt numFmtId="178" formatCode="#,##0\ &quot;円&quot;"/>
    <numFmt numFmtId="179" formatCode="#,##0_);[Red]\(#,##0\)"/>
    <numFmt numFmtId="180" formatCode="0.0%"/>
    <numFmt numFmtId="181" formatCode="#,##0_ &quot;円＋10万円×（給与所得者等の数ー1）以下&quot;"/>
    <numFmt numFmtId="182" formatCode="&quot;430,000円+（&quot;#,##0_ &quot;円×被保険者数と特定同一世帯所属者数の合計）＋10万円×（給与所得者等の数ー1）以下&quot;"/>
    <numFmt numFmtId="183" formatCode="&quot;¥&quot;#,##0_);[Red]\(&quot;¥&quot;#,##0\)"/>
    <numFmt numFmtId="184" formatCode="0.00\ &quot;%&quot;"/>
  </numFmts>
  <fonts count="31"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b/>
      <sz val="16"/>
      <color indexed="8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8"/>
      <color theme="1"/>
      <name val="メイリオ"/>
      <family val="3"/>
      <charset val="128"/>
    </font>
    <font>
      <sz val="12"/>
      <color theme="1"/>
      <name val="HGS創英角ｺﾞｼｯｸUB"/>
      <family val="3"/>
      <charset val="128"/>
    </font>
    <font>
      <b/>
      <sz val="12"/>
      <color rgb="FFFF0000"/>
      <name val="メイリオ"/>
      <family val="3"/>
      <charset val="128"/>
    </font>
    <font>
      <b/>
      <sz val="12"/>
      <color indexed="8"/>
      <name val="HGS創英角ｺﾞｼｯｸUB"/>
      <family val="3"/>
      <charset val="128"/>
    </font>
    <font>
      <b/>
      <sz val="16"/>
      <color indexed="8"/>
      <name val="HGS創英角ｺﾞｼｯｸUB"/>
      <family val="3"/>
      <charset val="128"/>
    </font>
    <font>
      <sz val="12"/>
      <color indexed="8"/>
      <name val="HGS創英角ｺﾞｼｯｸUB"/>
      <family val="3"/>
      <charset val="128"/>
    </font>
    <font>
      <b/>
      <sz val="18"/>
      <color rgb="FFFF0000"/>
      <name val="メイリオ"/>
      <family val="3"/>
      <charset val="128"/>
    </font>
    <font>
      <sz val="12"/>
      <color rgb="FFFF0000"/>
      <name val="メイリオ"/>
      <family val="3"/>
      <charset val="128"/>
    </font>
    <font>
      <b/>
      <sz val="12"/>
      <color theme="1"/>
      <name val="メイリオ"/>
      <family val="3"/>
      <charset val="128"/>
    </font>
    <font>
      <b/>
      <sz val="14"/>
      <color theme="1"/>
      <name val="メイリオ"/>
      <family val="3"/>
      <charset val="128"/>
    </font>
    <font>
      <sz val="11"/>
      <color theme="1"/>
      <name val="ＭＳ Ｐゴシック"/>
      <family val="2"/>
      <charset val="128"/>
      <scheme val="minor"/>
    </font>
    <font>
      <sz val="14"/>
      <color theme="1"/>
      <name val="メイリオ"/>
      <family val="3"/>
      <charset val="128"/>
    </font>
    <font>
      <b/>
      <sz val="16"/>
      <color theme="1"/>
      <name val="メイリオ"/>
      <family val="3"/>
      <charset val="128"/>
    </font>
    <font>
      <sz val="16"/>
      <color theme="1"/>
      <name val="メイリオ"/>
      <family val="3"/>
      <charset val="128"/>
    </font>
    <font>
      <b/>
      <sz val="18"/>
      <color theme="1"/>
      <name val="メイリオ"/>
      <family val="3"/>
      <charset val="128"/>
    </font>
    <font>
      <b/>
      <sz val="20"/>
      <color theme="1"/>
      <name val="メイリオ"/>
      <family val="3"/>
      <charset val="128"/>
    </font>
    <font>
      <sz val="12"/>
      <color theme="0"/>
      <name val="メイリオ"/>
      <family val="3"/>
      <charset val="128"/>
    </font>
    <font>
      <sz val="12"/>
      <name val="メイリオ"/>
      <family val="3"/>
      <charset val="128"/>
    </font>
    <font>
      <b/>
      <sz val="12"/>
      <color theme="0"/>
      <name val="メイリオ"/>
      <family val="3"/>
      <charset val="128"/>
    </font>
    <font>
      <sz val="22"/>
      <color rgb="FF000000"/>
      <name val="メイリオ"/>
      <family val="3"/>
      <charset val="128"/>
    </font>
    <font>
      <sz val="10"/>
      <color theme="1"/>
      <name val="メイリオ"/>
      <family val="3"/>
      <charset val="128"/>
    </font>
    <font>
      <sz val="9"/>
      <color indexed="81"/>
      <name val="メイリオ"/>
      <family val="3"/>
      <charset val="128"/>
    </font>
    <font>
      <b/>
      <u/>
      <sz val="9"/>
      <color indexed="81"/>
      <name val="メイリオ"/>
      <family val="3"/>
      <charset val="128"/>
    </font>
    <font>
      <b/>
      <u/>
      <sz val="16"/>
      <color theme="1"/>
      <name val="メイリオ"/>
      <family val="3"/>
      <charset val="128"/>
    </font>
  </fonts>
  <fills count="12">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7" tint="0.59999389629810485"/>
        <bgColor indexed="64"/>
      </patternFill>
    </fill>
    <fill>
      <patternFill patternType="solid">
        <fgColor rgb="FFE3FFC9"/>
        <bgColor indexed="64"/>
      </patternFill>
    </fill>
  </fills>
  <borders count="5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257">
    <xf numFmtId="0" fontId="0" fillId="0" borderId="0" xfId="0">
      <alignment vertical="center"/>
    </xf>
    <xf numFmtId="176" fontId="2" fillId="3" borderId="1" xfId="0" applyNumberFormat="1" applyFont="1" applyFill="1" applyBorder="1" applyProtection="1">
      <alignment vertical="center"/>
      <protection locked="0"/>
    </xf>
    <xf numFmtId="176" fontId="2" fillId="5" borderId="8" xfId="0" applyNumberFormat="1" applyFont="1" applyFill="1" applyBorder="1" applyProtection="1">
      <alignment vertical="center"/>
    </xf>
    <xf numFmtId="176" fontId="2" fillId="5" borderId="7" xfId="0" applyNumberFormat="1" applyFont="1" applyFill="1" applyBorder="1" applyProtection="1">
      <alignment vertical="center"/>
    </xf>
    <xf numFmtId="176" fontId="2" fillId="5" borderId="12" xfId="0" applyNumberFormat="1" applyFont="1" applyFill="1" applyBorder="1" applyProtection="1">
      <alignment vertical="center"/>
    </xf>
    <xf numFmtId="0" fontId="2" fillId="5" borderId="0" xfId="0" applyFont="1" applyFill="1" applyProtection="1">
      <alignment vertical="center"/>
    </xf>
    <xf numFmtId="0" fontId="2" fillId="5" borderId="2" xfId="0" applyFont="1" applyFill="1" applyBorder="1" applyProtection="1">
      <alignment vertical="center"/>
    </xf>
    <xf numFmtId="0" fontId="2" fillId="5" borderId="0" xfId="0" applyFont="1" applyFill="1" applyBorder="1" applyAlignment="1" applyProtection="1">
      <alignment horizontal="center" vertical="center"/>
    </xf>
    <xf numFmtId="176" fontId="2" fillId="5" borderId="0" xfId="0" applyNumberFormat="1" applyFont="1" applyFill="1" applyBorder="1" applyProtection="1">
      <alignment vertical="center"/>
    </xf>
    <xf numFmtId="0" fontId="2" fillId="5" borderId="4" xfId="0" applyFont="1" applyFill="1" applyBorder="1" applyProtection="1">
      <alignment vertical="center"/>
    </xf>
    <xf numFmtId="0" fontId="2" fillId="5" borderId="15" xfId="0" applyFont="1" applyFill="1" applyBorder="1" applyAlignment="1" applyProtection="1">
      <alignment horizontal="right" vertical="center"/>
    </xf>
    <xf numFmtId="0" fontId="2" fillId="5" borderId="4" xfId="0" applyFont="1" applyFill="1" applyBorder="1" applyAlignment="1" applyProtection="1">
      <alignment horizontal="center" vertical="center"/>
    </xf>
    <xf numFmtId="176" fontId="2" fillId="5" borderId="4" xfId="0" applyNumberFormat="1" applyFont="1" applyFill="1" applyBorder="1" applyProtection="1">
      <alignment vertical="center"/>
    </xf>
    <xf numFmtId="0" fontId="2" fillId="5" borderId="0" xfId="0" applyFont="1" applyFill="1" applyBorder="1" applyProtection="1">
      <alignment vertical="center"/>
    </xf>
    <xf numFmtId="0" fontId="2" fillId="5" borderId="13" xfId="0" applyFont="1" applyFill="1" applyBorder="1" applyProtection="1">
      <alignment vertical="center"/>
    </xf>
    <xf numFmtId="0" fontId="2" fillId="5" borderId="13" xfId="0" applyFont="1" applyFill="1" applyBorder="1" applyAlignment="1" applyProtection="1">
      <alignment horizontal="center" vertical="center"/>
    </xf>
    <xf numFmtId="0" fontId="2" fillId="5" borderId="11" xfId="0" applyFont="1" applyFill="1" applyBorder="1" applyProtection="1">
      <alignment vertical="center"/>
    </xf>
    <xf numFmtId="0" fontId="2" fillId="5" borderId="11" xfId="0" applyFont="1" applyFill="1" applyBorder="1" applyAlignment="1" applyProtection="1">
      <alignment horizontal="right" vertical="center"/>
    </xf>
    <xf numFmtId="0" fontId="2" fillId="2" borderId="14" xfId="0" applyFont="1" applyFill="1" applyBorder="1" applyAlignment="1" applyProtection="1">
      <alignment horizontal="center" vertical="center"/>
    </xf>
    <xf numFmtId="0" fontId="2" fillId="6" borderId="0" xfId="0" applyFont="1" applyFill="1" applyProtection="1">
      <alignment vertical="center"/>
    </xf>
    <xf numFmtId="0" fontId="2" fillId="6" borderId="2" xfId="0" applyFont="1" applyFill="1" applyBorder="1" applyProtection="1">
      <alignment vertical="center"/>
    </xf>
    <xf numFmtId="176" fontId="2" fillId="6" borderId="7" xfId="0" applyNumberFormat="1" applyFont="1" applyFill="1" applyBorder="1" applyProtection="1">
      <alignment vertical="center"/>
    </xf>
    <xf numFmtId="0" fontId="2" fillId="6" borderId="0" xfId="0" applyFont="1" applyFill="1" applyBorder="1" applyAlignment="1" applyProtection="1">
      <alignment horizontal="center" vertical="center"/>
    </xf>
    <xf numFmtId="176" fontId="2" fillId="6" borderId="0" xfId="0" applyNumberFormat="1" applyFont="1" applyFill="1" applyBorder="1" applyProtection="1">
      <alignment vertical="center"/>
    </xf>
    <xf numFmtId="176" fontId="2" fillId="6" borderId="8" xfId="0" applyNumberFormat="1" applyFont="1" applyFill="1" applyBorder="1" applyProtection="1">
      <alignment vertical="center"/>
    </xf>
    <xf numFmtId="0" fontId="2" fillId="6" borderId="4" xfId="0" applyFont="1" applyFill="1" applyBorder="1" applyProtection="1">
      <alignment vertical="center"/>
    </xf>
    <xf numFmtId="0" fontId="2" fillId="6" borderId="4" xfId="0" applyFont="1" applyFill="1" applyBorder="1" applyAlignment="1" applyProtection="1">
      <alignment horizontal="center" vertical="center"/>
    </xf>
    <xf numFmtId="176" fontId="2" fillId="6" borderId="4" xfId="0" applyNumberFormat="1" applyFont="1" applyFill="1" applyBorder="1" applyProtection="1">
      <alignment vertical="center"/>
    </xf>
    <xf numFmtId="0" fontId="2" fillId="6" borderId="0" xfId="0" applyFont="1" applyFill="1" applyBorder="1" applyProtection="1">
      <alignment vertical="center"/>
    </xf>
    <xf numFmtId="176" fontId="2" fillId="6" borderId="12" xfId="0" applyNumberFormat="1" applyFont="1" applyFill="1" applyBorder="1" applyProtection="1">
      <alignment vertical="center"/>
    </xf>
    <xf numFmtId="0" fontId="2" fillId="6" borderId="13" xfId="0" applyFont="1" applyFill="1" applyBorder="1" applyProtection="1">
      <alignment vertical="center"/>
    </xf>
    <xf numFmtId="0" fontId="0" fillId="6" borderId="0" xfId="0" applyFill="1" applyProtection="1">
      <alignment vertical="center"/>
    </xf>
    <xf numFmtId="0" fontId="6" fillId="5" borderId="0" xfId="1" applyFont="1" applyFill="1">
      <alignment vertical="center"/>
    </xf>
    <xf numFmtId="0" fontId="8" fillId="5" borderId="0" xfId="1" applyFont="1" applyFill="1" applyAlignment="1">
      <alignment horizontal="right" vertical="center"/>
    </xf>
    <xf numFmtId="0" fontId="8" fillId="5" borderId="0" xfId="1" applyFont="1" applyFill="1">
      <alignment vertical="center"/>
    </xf>
    <xf numFmtId="0" fontId="2" fillId="5" borderId="0" xfId="1" applyFont="1" applyFill="1">
      <alignment vertical="center"/>
    </xf>
    <xf numFmtId="0" fontId="2" fillId="5" borderId="0" xfId="1" applyFont="1" applyFill="1" applyAlignment="1">
      <alignment horizontal="right" vertical="center"/>
    </xf>
    <xf numFmtId="0" fontId="2" fillId="5" borderId="17" xfId="1" applyFont="1" applyFill="1" applyBorder="1">
      <alignment vertical="center"/>
    </xf>
    <xf numFmtId="0" fontId="2" fillId="5" borderId="17" xfId="1" applyFont="1" applyFill="1" applyBorder="1" applyAlignment="1">
      <alignment horizontal="center" vertical="center"/>
    </xf>
    <xf numFmtId="0" fontId="6" fillId="5" borderId="17" xfId="1" applyFont="1" applyFill="1" applyBorder="1">
      <alignment vertical="center"/>
    </xf>
    <xf numFmtId="0" fontId="9" fillId="5" borderId="0" xfId="1" applyFont="1" applyFill="1">
      <alignment vertical="center"/>
    </xf>
    <xf numFmtId="38" fontId="6" fillId="5" borderId="17" xfId="2" applyFont="1" applyFill="1" applyBorder="1">
      <alignment vertical="center"/>
    </xf>
    <xf numFmtId="38" fontId="6" fillId="5" borderId="0" xfId="2" applyFont="1" applyFill="1">
      <alignment vertical="center"/>
    </xf>
    <xf numFmtId="0" fontId="2" fillId="5" borderId="0" xfId="1" applyFont="1" applyFill="1" applyBorder="1">
      <alignment vertical="center"/>
    </xf>
    <xf numFmtId="0" fontId="2" fillId="7" borderId="18" xfId="1" applyFont="1" applyFill="1" applyBorder="1">
      <alignment vertical="center"/>
    </xf>
    <xf numFmtId="0" fontId="13" fillId="7" borderId="19" xfId="1" applyFont="1" applyFill="1" applyBorder="1">
      <alignment vertical="center"/>
    </xf>
    <xf numFmtId="0" fontId="2" fillId="7" borderId="19" xfId="1" applyFont="1" applyFill="1" applyBorder="1">
      <alignment vertical="center"/>
    </xf>
    <xf numFmtId="0" fontId="6" fillId="7" borderId="19" xfId="1" applyFont="1" applyFill="1" applyBorder="1">
      <alignment vertical="center"/>
    </xf>
    <xf numFmtId="0" fontId="6" fillId="7" borderId="20" xfId="1" applyFont="1" applyFill="1" applyBorder="1">
      <alignment vertical="center"/>
    </xf>
    <xf numFmtId="0" fontId="2" fillId="7" borderId="7" xfId="1" applyFont="1" applyFill="1" applyBorder="1">
      <alignment vertical="center"/>
    </xf>
    <xf numFmtId="0" fontId="2" fillId="7" borderId="17" xfId="1" applyFont="1" applyFill="1" applyBorder="1">
      <alignment vertical="center"/>
    </xf>
    <xf numFmtId="38" fontId="2" fillId="7" borderId="17" xfId="1" applyNumberFormat="1" applyFont="1" applyFill="1" applyBorder="1">
      <alignment vertical="center"/>
    </xf>
    <xf numFmtId="0" fontId="2" fillId="7" borderId="0" xfId="1" applyFont="1" applyFill="1" applyBorder="1">
      <alignment vertical="center"/>
    </xf>
    <xf numFmtId="0" fontId="6" fillId="7" borderId="0" xfId="1" applyFont="1" applyFill="1" applyBorder="1">
      <alignment vertical="center"/>
    </xf>
    <xf numFmtId="0" fontId="6" fillId="7" borderId="21" xfId="1" applyFont="1" applyFill="1" applyBorder="1">
      <alignment vertical="center"/>
    </xf>
    <xf numFmtId="0" fontId="14" fillId="7" borderId="17" xfId="1" applyFont="1" applyFill="1" applyBorder="1" applyAlignment="1">
      <alignment horizontal="center" vertical="center"/>
    </xf>
    <xf numFmtId="0" fontId="14" fillId="7" borderId="0" xfId="1" applyFont="1" applyFill="1" applyBorder="1" applyAlignment="1">
      <alignment horizontal="center" vertical="center"/>
    </xf>
    <xf numFmtId="0" fontId="6" fillId="7" borderId="0" xfId="1" applyFont="1" applyFill="1" applyBorder="1" applyAlignment="1">
      <alignment vertical="top"/>
    </xf>
    <xf numFmtId="0" fontId="2" fillId="7" borderId="21" xfId="1" applyFont="1" applyFill="1" applyBorder="1">
      <alignment vertical="center"/>
    </xf>
    <xf numFmtId="0" fontId="6" fillId="5" borderId="0" xfId="1" applyFont="1" applyFill="1" applyBorder="1">
      <alignment vertical="center"/>
    </xf>
    <xf numFmtId="0" fontId="2" fillId="7" borderId="17" xfId="1" applyFont="1" applyFill="1" applyBorder="1" applyAlignment="1">
      <alignment horizontal="center" vertical="center"/>
    </xf>
    <xf numFmtId="0" fontId="15" fillId="7" borderId="7" xfId="1" applyFont="1" applyFill="1" applyBorder="1">
      <alignment vertical="center"/>
    </xf>
    <xf numFmtId="0" fontId="6" fillId="7" borderId="0" xfId="1" applyFont="1" applyFill="1" applyBorder="1" applyAlignment="1"/>
    <xf numFmtId="38" fontId="2" fillId="7" borderId="17" xfId="2" applyFont="1" applyFill="1" applyBorder="1">
      <alignment vertical="center"/>
    </xf>
    <xf numFmtId="0" fontId="2" fillId="7" borderId="17" xfId="1" applyFont="1" applyFill="1" applyBorder="1" applyAlignment="1">
      <alignment horizontal="left" vertical="center"/>
    </xf>
    <xf numFmtId="177" fontId="2" fillId="7" borderId="17" xfId="1" applyNumberFormat="1" applyFont="1" applyFill="1" applyBorder="1">
      <alignment vertical="center"/>
    </xf>
    <xf numFmtId="178" fontId="2" fillId="7" borderId="17" xfId="2" applyNumberFormat="1" applyFont="1" applyFill="1" applyBorder="1">
      <alignment vertical="center"/>
    </xf>
    <xf numFmtId="0" fontId="6" fillId="7" borderId="7" xfId="1" applyFont="1" applyFill="1" applyBorder="1">
      <alignment vertical="center"/>
    </xf>
    <xf numFmtId="0" fontId="6" fillId="7" borderId="9" xfId="1" applyFont="1" applyFill="1" applyBorder="1">
      <alignment vertical="center"/>
    </xf>
    <xf numFmtId="0" fontId="2" fillId="0" borderId="17" xfId="1" applyFont="1" applyFill="1" applyBorder="1" applyAlignment="1">
      <alignment horizontal="center" vertical="center"/>
    </xf>
    <xf numFmtId="3" fontId="2" fillId="0" borderId="0" xfId="0" applyNumberFormat="1" applyFont="1">
      <alignment vertical="center"/>
    </xf>
    <xf numFmtId="0" fontId="2" fillId="0" borderId="0" xfId="0" applyFont="1">
      <alignment vertical="center"/>
    </xf>
    <xf numFmtId="180" fontId="2" fillId="0" borderId="17" xfId="3" applyNumberFormat="1" applyFont="1" applyFill="1" applyBorder="1">
      <alignment vertical="center"/>
    </xf>
    <xf numFmtId="0" fontId="2" fillId="0" borderId="0" xfId="0" applyFont="1" applyAlignment="1">
      <alignment vertical="center"/>
    </xf>
    <xf numFmtId="0" fontId="2" fillId="0" borderId="0" xfId="0" applyFont="1" applyAlignment="1">
      <alignment horizontal="center" vertical="center"/>
    </xf>
    <xf numFmtId="178" fontId="2" fillId="0" borderId="17" xfId="2" applyNumberFormat="1" applyFont="1" applyFill="1" applyBorder="1">
      <alignment vertical="center"/>
    </xf>
    <xf numFmtId="178" fontId="2" fillId="0" borderId="17" xfId="2" applyNumberFormat="1" applyFont="1" applyFill="1" applyBorder="1" applyAlignment="1">
      <alignment vertical="center"/>
    </xf>
    <xf numFmtId="0" fontId="2" fillId="0" borderId="0" xfId="1" applyFont="1" applyFill="1" applyBorder="1" applyAlignment="1">
      <alignment horizontal="center" vertical="center"/>
    </xf>
    <xf numFmtId="178" fontId="2" fillId="0" borderId="0" xfId="2" applyNumberFormat="1" applyFont="1" applyFill="1" applyBorder="1" applyAlignment="1">
      <alignment vertical="center"/>
    </xf>
    <xf numFmtId="3" fontId="18" fillId="0" borderId="0" xfId="0" applyNumberFormat="1" applyFont="1" applyBorder="1" applyAlignment="1">
      <alignment vertical="center"/>
    </xf>
    <xf numFmtId="3" fontId="2" fillId="0" borderId="0" xfId="0" applyNumberFormat="1" applyFont="1" applyBorder="1" applyAlignment="1">
      <alignment vertical="center"/>
    </xf>
    <xf numFmtId="0" fontId="2" fillId="0" borderId="0" xfId="0" applyFont="1" applyAlignment="1">
      <alignment horizontal="right" vertical="center"/>
    </xf>
    <xf numFmtId="3" fontId="16" fillId="0" borderId="25" xfId="0" applyNumberFormat="1" applyFont="1" applyBorder="1" applyAlignment="1">
      <alignment vertical="center"/>
    </xf>
    <xf numFmtId="3" fontId="2" fillId="0" borderId="25" xfId="0" applyNumberFormat="1" applyFont="1" applyBorder="1" applyAlignment="1">
      <alignment vertical="center"/>
    </xf>
    <xf numFmtId="3" fontId="16" fillId="0" borderId="0" xfId="0" applyNumberFormat="1" applyFont="1">
      <alignment vertical="center"/>
    </xf>
    <xf numFmtId="0" fontId="2" fillId="0" borderId="0" xfId="0" applyFont="1" applyFill="1" applyBorder="1" applyAlignment="1">
      <alignment horizontal="center" vertical="center"/>
    </xf>
    <xf numFmtId="3" fontId="2" fillId="0" borderId="17" xfId="0" applyNumberFormat="1" applyFont="1" applyFill="1" applyBorder="1" applyAlignment="1">
      <alignment horizontal="center" vertical="center"/>
    </xf>
    <xf numFmtId="3" fontId="2" fillId="0" borderId="17" xfId="0" applyNumberFormat="1" applyFont="1" applyFill="1" applyBorder="1" applyAlignment="1">
      <alignment horizontal="center" vertical="center" wrapText="1"/>
    </xf>
    <xf numFmtId="3" fontId="2" fillId="8" borderId="17" xfId="0" applyNumberFormat="1" applyFont="1" applyFill="1" applyBorder="1">
      <alignment vertical="center"/>
    </xf>
    <xf numFmtId="0" fontId="2" fillId="8" borderId="17" xfId="0" applyFont="1" applyFill="1" applyBorder="1">
      <alignment vertical="center"/>
    </xf>
    <xf numFmtId="0" fontId="2" fillId="0" borderId="0" xfId="0" applyFont="1" applyFill="1" applyBorder="1" applyAlignment="1">
      <alignment horizontal="right" vertical="center"/>
    </xf>
    <xf numFmtId="3" fontId="2" fillId="0" borderId="17" xfId="0" applyNumberFormat="1" applyFont="1" applyBorder="1">
      <alignment vertical="center"/>
    </xf>
    <xf numFmtId="3" fontId="2" fillId="0" borderId="17" xfId="0" applyNumberFormat="1" applyFont="1" applyFill="1" applyBorder="1">
      <alignment vertical="center"/>
    </xf>
    <xf numFmtId="0" fontId="2" fillId="0" borderId="17" xfId="0" applyFont="1" applyFill="1" applyBorder="1">
      <alignment vertical="center"/>
    </xf>
    <xf numFmtId="3" fontId="2" fillId="0" borderId="0" xfId="0" applyNumberFormat="1" applyFont="1" applyFill="1">
      <alignment vertical="center"/>
    </xf>
    <xf numFmtId="0" fontId="2" fillId="0" borderId="0" xfId="0" applyFont="1" applyFill="1">
      <alignment vertical="center"/>
    </xf>
    <xf numFmtId="0" fontId="2" fillId="0" borderId="0" xfId="0" applyFont="1" applyFill="1" applyAlignment="1">
      <alignment horizontal="right" vertical="center"/>
    </xf>
    <xf numFmtId="3" fontId="16" fillId="0" borderId="0" xfId="0" applyNumberFormat="1" applyFont="1" applyFill="1">
      <alignment vertical="center"/>
    </xf>
    <xf numFmtId="3" fontId="2" fillId="8" borderId="17" xfId="0" applyNumberFormat="1" applyFont="1" applyFill="1" applyBorder="1" applyAlignment="1">
      <alignment vertical="center"/>
    </xf>
    <xf numFmtId="3" fontId="2" fillId="0" borderId="17" xfId="0" applyNumberFormat="1" applyFont="1" applyBorder="1" applyAlignment="1">
      <alignment vertical="center"/>
    </xf>
    <xf numFmtId="178" fontId="2" fillId="7" borderId="0" xfId="2" applyNumberFormat="1" applyFont="1" applyFill="1" applyBorder="1">
      <alignment vertical="center"/>
    </xf>
    <xf numFmtId="0" fontId="6" fillId="0" borderId="0" xfId="1" applyFont="1" applyFill="1" applyBorder="1">
      <alignment vertical="center"/>
    </xf>
    <xf numFmtId="0" fontId="20" fillId="0" borderId="0" xfId="1" applyFont="1" applyFill="1" applyBorder="1" applyAlignment="1">
      <alignment vertical="center"/>
    </xf>
    <xf numFmtId="0" fontId="19" fillId="0" borderId="0" xfId="1" applyFont="1" applyFill="1" applyBorder="1" applyAlignment="1">
      <alignment vertical="center"/>
    </xf>
    <xf numFmtId="0" fontId="20" fillId="0" borderId="0" xfId="1" applyFont="1" applyFill="1" applyBorder="1">
      <alignment vertical="center"/>
    </xf>
    <xf numFmtId="0" fontId="2" fillId="7" borderId="28" xfId="1" applyFont="1" applyFill="1" applyBorder="1">
      <alignment vertical="center"/>
    </xf>
    <xf numFmtId="38" fontId="2" fillId="7" borderId="28" xfId="2" applyFont="1" applyFill="1" applyBorder="1">
      <alignment vertical="center"/>
    </xf>
    <xf numFmtId="178" fontId="2" fillId="7" borderId="28" xfId="2" applyNumberFormat="1" applyFont="1" applyFill="1" applyBorder="1" applyAlignment="1">
      <alignment vertical="center"/>
    </xf>
    <xf numFmtId="0" fontId="2" fillId="7" borderId="24" xfId="1" applyFont="1" applyFill="1" applyBorder="1">
      <alignment vertical="center"/>
    </xf>
    <xf numFmtId="0" fontId="6" fillId="0" borderId="19" xfId="1" applyFont="1" applyFill="1" applyBorder="1">
      <alignment vertical="center"/>
    </xf>
    <xf numFmtId="0" fontId="2" fillId="0" borderId="19" xfId="1" applyFont="1" applyFill="1" applyBorder="1">
      <alignment vertical="center"/>
    </xf>
    <xf numFmtId="0" fontId="21" fillId="0" borderId="2" xfId="1" applyFont="1" applyFill="1" applyBorder="1">
      <alignment vertical="center"/>
    </xf>
    <xf numFmtId="0" fontId="21" fillId="3" borderId="2" xfId="1" applyFont="1" applyFill="1" applyBorder="1">
      <alignment vertical="center"/>
    </xf>
    <xf numFmtId="0" fontId="21" fillId="0" borderId="3" xfId="1" applyFont="1" applyFill="1" applyBorder="1" applyAlignment="1">
      <alignment horizontal="center" vertical="center"/>
    </xf>
    <xf numFmtId="0" fontId="13" fillId="0" borderId="3" xfId="1" applyFont="1" applyFill="1" applyBorder="1" applyAlignment="1">
      <alignment horizontal="right" vertical="center"/>
    </xf>
    <xf numFmtId="0" fontId="21" fillId="0" borderId="3" xfId="1" applyFont="1" applyFill="1" applyBorder="1">
      <alignment vertical="center"/>
    </xf>
    <xf numFmtId="0" fontId="23" fillId="5" borderId="0" xfId="0" applyFont="1" applyFill="1" applyProtection="1">
      <alignment vertical="center"/>
    </xf>
    <xf numFmtId="38" fontId="2" fillId="5" borderId="12" xfId="4" applyFont="1" applyFill="1" applyBorder="1" applyProtection="1">
      <alignment vertical="center"/>
    </xf>
    <xf numFmtId="0" fontId="24" fillId="5" borderId="0" xfId="0" applyFont="1" applyFill="1" applyProtection="1">
      <alignment vertical="center"/>
    </xf>
    <xf numFmtId="0" fontId="2" fillId="4" borderId="44" xfId="0" applyFont="1" applyFill="1" applyBorder="1" applyAlignment="1" applyProtection="1">
      <alignment horizontal="center" vertical="center"/>
    </xf>
    <xf numFmtId="0" fontId="2" fillId="10" borderId="44" xfId="0" applyFont="1" applyFill="1" applyBorder="1" applyAlignment="1" applyProtection="1">
      <alignment horizontal="center" vertical="center"/>
    </xf>
    <xf numFmtId="176" fontId="2" fillId="6" borderId="41" xfId="0" applyNumberFormat="1" applyFont="1" applyFill="1" applyBorder="1" applyProtection="1">
      <alignment vertical="center"/>
    </xf>
    <xf numFmtId="0" fontId="2" fillId="6" borderId="23" xfId="0" applyFont="1" applyFill="1" applyBorder="1" applyProtection="1">
      <alignment vertical="center"/>
    </xf>
    <xf numFmtId="0" fontId="2" fillId="6" borderId="44" xfId="0" applyFont="1" applyFill="1" applyBorder="1" applyAlignment="1" applyProtection="1">
      <alignment horizontal="right" vertical="center"/>
    </xf>
    <xf numFmtId="176" fontId="2" fillId="6" borderId="21" xfId="0" applyNumberFormat="1" applyFont="1" applyFill="1" applyBorder="1" applyProtection="1">
      <alignment vertical="center"/>
    </xf>
    <xf numFmtId="176" fontId="2" fillId="6" borderId="45" xfId="0" applyNumberFormat="1" applyFont="1" applyFill="1" applyBorder="1" applyProtection="1">
      <alignment vertical="center"/>
    </xf>
    <xf numFmtId="0" fontId="2" fillId="6" borderId="46" xfId="0" applyFont="1" applyFill="1" applyBorder="1" applyProtection="1">
      <alignment vertical="center"/>
    </xf>
    <xf numFmtId="0" fontId="2" fillId="6" borderId="47" xfId="0" applyFont="1" applyFill="1" applyBorder="1" applyAlignment="1" applyProtection="1">
      <alignment horizontal="right" vertical="center"/>
    </xf>
    <xf numFmtId="0" fontId="2" fillId="6" borderId="13" xfId="0" applyFont="1" applyFill="1" applyBorder="1" applyAlignment="1" applyProtection="1">
      <alignment horizontal="center" vertical="center"/>
    </xf>
    <xf numFmtId="176" fontId="2" fillId="6" borderId="13" xfId="0" applyNumberFormat="1" applyFont="1" applyFill="1" applyBorder="1" applyProtection="1">
      <alignment vertical="center"/>
    </xf>
    <xf numFmtId="176" fontId="2" fillId="6" borderId="11" xfId="0" applyNumberFormat="1" applyFont="1" applyFill="1" applyBorder="1" applyProtection="1">
      <alignment vertical="center"/>
    </xf>
    <xf numFmtId="0" fontId="2" fillId="6" borderId="48" xfId="0" applyFont="1" applyFill="1" applyBorder="1" applyProtection="1">
      <alignment vertical="center"/>
    </xf>
    <xf numFmtId="0" fontId="2" fillId="6" borderId="49" xfId="0" applyFont="1" applyFill="1" applyBorder="1" applyAlignment="1" applyProtection="1">
      <alignment horizontal="right" vertical="center"/>
    </xf>
    <xf numFmtId="0" fontId="2" fillId="6" borderId="50" xfId="0" applyFont="1" applyFill="1" applyBorder="1" applyProtection="1">
      <alignment vertical="center"/>
    </xf>
    <xf numFmtId="0" fontId="2" fillId="6" borderId="11" xfId="0" applyFont="1" applyFill="1" applyBorder="1" applyProtection="1">
      <alignment vertical="center"/>
    </xf>
    <xf numFmtId="0" fontId="2" fillId="3" borderId="17" xfId="1" applyFont="1" applyFill="1" applyBorder="1" applyAlignment="1" applyProtection="1">
      <alignment horizontal="center" vertical="center"/>
      <protection locked="0"/>
    </xf>
    <xf numFmtId="0" fontId="2" fillId="3" borderId="17" xfId="1" applyFont="1" applyFill="1" applyBorder="1" applyProtection="1">
      <alignment vertical="center"/>
      <protection locked="0"/>
    </xf>
    <xf numFmtId="0" fontId="2" fillId="5" borderId="17" xfId="1" applyFont="1" applyFill="1" applyBorder="1" applyAlignment="1">
      <alignment horizontal="center" vertical="center"/>
    </xf>
    <xf numFmtId="38" fontId="6" fillId="5" borderId="17" xfId="2" applyFont="1" applyFill="1" applyBorder="1">
      <alignment vertical="center"/>
    </xf>
    <xf numFmtId="0" fontId="2" fillId="7" borderId="19" xfId="1" applyFont="1" applyFill="1" applyBorder="1">
      <alignment vertical="center"/>
    </xf>
    <xf numFmtId="0" fontId="2" fillId="7" borderId="17" xfId="1" applyFont="1" applyFill="1" applyBorder="1">
      <alignment vertical="center"/>
    </xf>
    <xf numFmtId="0" fontId="2" fillId="7" borderId="0" xfId="1" applyFont="1" applyFill="1" applyBorder="1">
      <alignment vertical="center"/>
    </xf>
    <xf numFmtId="38" fontId="2" fillId="5" borderId="17" xfId="1" applyNumberFormat="1" applyFont="1" applyFill="1" applyBorder="1">
      <alignment vertical="center"/>
    </xf>
    <xf numFmtId="0" fontId="12" fillId="7" borderId="0" xfId="1" applyFont="1" applyFill="1">
      <alignment vertical="center"/>
    </xf>
    <xf numFmtId="0" fontId="6" fillId="5" borderId="17" xfId="1" applyFont="1" applyFill="1" applyBorder="1" applyAlignment="1">
      <alignment horizontal="center" vertical="center"/>
    </xf>
    <xf numFmtId="38" fontId="6" fillId="5" borderId="17" xfId="4" applyFont="1" applyFill="1" applyBorder="1">
      <alignment vertical="center"/>
    </xf>
    <xf numFmtId="179" fontId="2" fillId="3" borderId="17" xfId="1" applyNumberFormat="1" applyFont="1" applyFill="1" applyBorder="1" applyProtection="1">
      <alignment vertical="center"/>
      <protection locked="0"/>
    </xf>
    <xf numFmtId="38" fontId="2" fillId="3" borderId="17" xfId="2" applyNumberFormat="1" applyFont="1" applyFill="1" applyBorder="1" applyProtection="1">
      <alignment vertical="center"/>
      <protection locked="0"/>
    </xf>
    <xf numFmtId="0" fontId="23" fillId="5" borderId="0" xfId="1" applyFont="1" applyFill="1" applyAlignment="1">
      <alignment horizontal="right" vertical="center"/>
    </xf>
    <xf numFmtId="38" fontId="2" fillId="5" borderId="37" xfId="4" applyFont="1" applyFill="1" applyBorder="1" applyAlignment="1" applyProtection="1">
      <alignment horizontal="center" vertical="center"/>
      <protection locked="0"/>
    </xf>
    <xf numFmtId="176" fontId="23" fillId="9" borderId="1" xfId="0" applyNumberFormat="1" applyFont="1" applyFill="1" applyBorder="1" applyProtection="1">
      <alignment vertical="center"/>
    </xf>
    <xf numFmtId="38" fontId="2" fillId="7" borderId="17" xfId="1" applyNumberFormat="1" applyFont="1" applyFill="1" applyBorder="1" applyProtection="1">
      <alignment vertical="center"/>
    </xf>
    <xf numFmtId="176" fontId="2" fillId="11" borderId="1" xfId="0" applyNumberFormat="1" applyFont="1" applyFill="1" applyBorder="1" applyProtection="1">
      <alignment vertical="center"/>
      <protection locked="0"/>
    </xf>
    <xf numFmtId="0" fontId="6" fillId="11" borderId="17" xfId="1" applyFont="1" applyFill="1" applyBorder="1" applyProtection="1">
      <alignment vertical="center"/>
      <protection locked="0"/>
    </xf>
    <xf numFmtId="0" fontId="25" fillId="9" borderId="3" xfId="0" applyNumberFormat="1" applyFont="1" applyFill="1" applyBorder="1" applyProtection="1">
      <alignment vertical="center"/>
    </xf>
    <xf numFmtId="183" fontId="2" fillId="3" borderId="17" xfId="2" applyNumberFormat="1" applyFont="1" applyFill="1" applyBorder="1" applyProtection="1">
      <alignment vertical="center"/>
      <protection locked="0"/>
    </xf>
    <xf numFmtId="0" fontId="2" fillId="11" borderId="17" xfId="1" applyFont="1" applyFill="1" applyBorder="1" applyAlignment="1" applyProtection="1">
      <alignment horizontal="center" vertical="center"/>
      <protection locked="0"/>
    </xf>
    <xf numFmtId="176" fontId="2" fillId="3" borderId="17" xfId="1" applyNumberFormat="1" applyFont="1" applyFill="1" applyBorder="1" applyProtection="1">
      <alignment vertical="center"/>
      <protection locked="0"/>
    </xf>
    <xf numFmtId="0" fontId="2" fillId="7" borderId="17" xfId="1" applyFont="1" applyFill="1" applyBorder="1" applyAlignment="1">
      <alignment horizontal="center" vertical="center"/>
    </xf>
    <xf numFmtId="0" fontId="2" fillId="0" borderId="0" xfId="1" applyFont="1" applyFill="1" applyBorder="1">
      <alignment vertical="center"/>
    </xf>
    <xf numFmtId="176" fontId="6" fillId="5" borderId="17" xfId="1" applyNumberFormat="1" applyFont="1" applyFill="1" applyBorder="1">
      <alignment vertical="center"/>
    </xf>
    <xf numFmtId="179" fontId="6" fillId="5" borderId="17" xfId="1" applyNumberFormat="1" applyFont="1" applyFill="1" applyBorder="1">
      <alignment vertical="center"/>
    </xf>
    <xf numFmtId="0" fontId="27" fillId="7" borderId="17" xfId="1" applyFont="1" applyFill="1" applyBorder="1">
      <alignment vertical="center"/>
    </xf>
    <xf numFmtId="38" fontId="2" fillId="7" borderId="0" xfId="1" applyNumberFormat="1" applyFont="1" applyFill="1" applyBorder="1" applyProtection="1">
      <alignment vertical="center"/>
    </xf>
    <xf numFmtId="0" fontId="30" fillId="5" borderId="0" xfId="1" applyFont="1" applyFill="1">
      <alignment vertical="center"/>
    </xf>
    <xf numFmtId="0" fontId="2" fillId="7" borderId="17" xfId="1" applyFont="1" applyFill="1" applyBorder="1" applyAlignment="1">
      <alignment horizontal="center" vertical="center"/>
    </xf>
    <xf numFmtId="0" fontId="2" fillId="5" borderId="41" xfId="0" applyFont="1" applyFill="1" applyBorder="1" applyProtection="1">
      <alignment vertical="center"/>
    </xf>
    <xf numFmtId="0" fontId="2" fillId="7" borderId="17" xfId="1" applyFont="1" applyFill="1" applyBorder="1" applyAlignment="1">
      <alignment horizontal="center" vertical="center"/>
    </xf>
    <xf numFmtId="0" fontId="2" fillId="5" borderId="0" xfId="1" applyFont="1" applyFill="1" applyBorder="1" applyAlignment="1">
      <alignment horizontal="center" vertical="center"/>
    </xf>
    <xf numFmtId="38" fontId="2" fillId="5" borderId="0" xfId="1" applyNumberFormat="1" applyFont="1" applyFill="1" applyBorder="1">
      <alignment vertical="center"/>
    </xf>
    <xf numFmtId="0" fontId="2" fillId="7" borderId="0" xfId="1" applyFont="1" applyFill="1" applyBorder="1" applyAlignment="1">
      <alignment horizontal="center" vertical="center"/>
    </xf>
    <xf numFmtId="181" fontId="2" fillId="7" borderId="0" xfId="1" applyNumberFormat="1" applyFont="1" applyFill="1" applyBorder="1" applyAlignment="1">
      <alignment horizontal="left" vertical="center"/>
    </xf>
    <xf numFmtId="182" fontId="2" fillId="7" borderId="0" xfId="1" applyNumberFormat="1" applyFont="1" applyFill="1" applyBorder="1" applyAlignment="1">
      <alignment horizontal="left" vertical="center"/>
    </xf>
    <xf numFmtId="0" fontId="6" fillId="7" borderId="0" xfId="1" applyFont="1" applyFill="1">
      <alignment vertical="center"/>
    </xf>
    <xf numFmtId="184" fontId="24" fillId="7" borderId="17" xfId="1" applyNumberFormat="1" applyFont="1" applyFill="1" applyBorder="1">
      <alignment vertical="center"/>
    </xf>
    <xf numFmtId="178" fontId="24" fillId="7" borderId="17" xfId="2" applyNumberFormat="1" applyFont="1" applyFill="1" applyBorder="1">
      <alignment vertical="center"/>
    </xf>
    <xf numFmtId="38" fontId="24" fillId="7" borderId="17" xfId="2" applyFont="1" applyFill="1" applyBorder="1">
      <alignment vertical="center"/>
    </xf>
    <xf numFmtId="38" fontId="2" fillId="7" borderId="17" xfId="2" applyFont="1" applyFill="1" applyBorder="1" applyAlignment="1">
      <alignment horizontal="center" vertical="center"/>
    </xf>
    <xf numFmtId="38" fontId="24" fillId="7" borderId="28" xfId="2" applyFont="1" applyFill="1" applyBorder="1">
      <alignment vertical="center"/>
    </xf>
    <xf numFmtId="178" fontId="24" fillId="7" borderId="28" xfId="2" applyNumberFormat="1" applyFont="1" applyFill="1" applyBorder="1" applyAlignment="1">
      <alignment vertical="center"/>
    </xf>
    <xf numFmtId="0" fontId="2" fillId="0" borderId="0" xfId="0" applyFont="1" applyAlignment="1">
      <alignment horizontal="center" vertical="center"/>
    </xf>
    <xf numFmtId="0" fontId="7" fillId="5"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3" xfId="1" applyFont="1" applyFill="1" applyBorder="1" applyAlignment="1">
      <alignment horizontal="center" vertical="center"/>
    </xf>
    <xf numFmtId="0" fontId="13" fillId="3" borderId="3" xfId="1" applyFont="1" applyFill="1" applyBorder="1" applyAlignment="1">
      <alignment horizontal="right" vertical="center"/>
    </xf>
    <xf numFmtId="0" fontId="13" fillId="0" borderId="3" xfId="1" applyFont="1" applyFill="1" applyBorder="1" applyAlignment="1">
      <alignment horizontal="right" vertical="center"/>
    </xf>
    <xf numFmtId="0" fontId="22" fillId="3" borderId="1" xfId="1" applyFont="1" applyFill="1" applyBorder="1" applyAlignment="1">
      <alignment horizontal="center" vertical="center"/>
    </xf>
    <xf numFmtId="0" fontId="22" fillId="3" borderId="3" xfId="1" applyFont="1" applyFill="1" applyBorder="1" applyAlignment="1">
      <alignment horizontal="center" vertical="center"/>
    </xf>
    <xf numFmtId="181" fontId="2" fillId="7" borderId="17" xfId="1" applyNumberFormat="1" applyFont="1" applyFill="1" applyBorder="1" applyAlignment="1">
      <alignment horizontal="left" vertical="center"/>
    </xf>
    <xf numFmtId="182" fontId="2" fillId="7" borderId="17" xfId="1" applyNumberFormat="1" applyFont="1" applyFill="1" applyBorder="1" applyAlignment="1">
      <alignment horizontal="left" vertical="center"/>
    </xf>
    <xf numFmtId="0" fontId="2" fillId="7" borderId="17" xfId="1" applyFont="1" applyFill="1" applyBorder="1" applyAlignment="1">
      <alignment horizontal="center" vertical="center"/>
    </xf>
    <xf numFmtId="0" fontId="2" fillId="5" borderId="1"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5" borderId="29"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5" borderId="17"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4"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38" fontId="2" fillId="5" borderId="35" xfId="4" applyFont="1" applyFill="1" applyBorder="1" applyAlignment="1" applyProtection="1">
      <alignment horizontal="center" vertical="center"/>
      <protection locked="0"/>
    </xf>
    <xf numFmtId="38" fontId="2" fillId="5" borderId="10" xfId="4" applyFont="1" applyFill="1" applyBorder="1" applyAlignment="1" applyProtection="1">
      <alignment horizontal="center" vertical="center"/>
      <protection locked="0"/>
    </xf>
    <xf numFmtId="0" fontId="2" fillId="5" borderId="31" xfId="0" applyFont="1" applyFill="1" applyBorder="1" applyAlignment="1" applyProtection="1">
      <alignment horizontal="center" vertical="center" shrinkToFit="1"/>
    </xf>
    <xf numFmtId="0" fontId="2" fillId="5" borderId="17" xfId="0" applyFont="1" applyFill="1" applyBorder="1" applyAlignment="1" applyProtection="1">
      <alignment horizontal="center" vertical="center" shrinkToFit="1"/>
    </xf>
    <xf numFmtId="0" fontId="2" fillId="5" borderId="32" xfId="0" applyFont="1" applyFill="1" applyBorder="1" applyAlignment="1" applyProtection="1">
      <alignment horizontal="center" vertical="center"/>
    </xf>
    <xf numFmtId="0" fontId="2" fillId="5" borderId="36" xfId="0" applyFont="1" applyFill="1" applyBorder="1" applyAlignment="1" applyProtection="1">
      <alignment horizontal="center" vertical="center"/>
    </xf>
    <xf numFmtId="0" fontId="2" fillId="5" borderId="30" xfId="0" applyFont="1" applyFill="1" applyBorder="1" applyAlignment="1" applyProtection="1">
      <alignment horizontal="center" vertical="center"/>
      <protection locked="0"/>
    </xf>
    <xf numFmtId="0" fontId="2" fillId="5" borderId="38" xfId="0" applyFont="1" applyFill="1" applyBorder="1" applyAlignment="1" applyProtection="1">
      <alignment horizontal="center" vertical="center"/>
      <protection locked="0"/>
    </xf>
    <xf numFmtId="0" fontId="2" fillId="5" borderId="17"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5" borderId="36"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xf>
    <xf numFmtId="0" fontId="2" fillId="10" borderId="6" xfId="0" applyFont="1" applyFill="1" applyBorder="1" applyAlignment="1" applyProtection="1">
      <alignment horizontal="center" vertical="center"/>
    </xf>
    <xf numFmtId="0" fontId="2" fillId="10" borderId="40" xfId="0" applyFont="1" applyFill="1" applyBorder="1" applyAlignment="1" applyProtection="1">
      <alignment horizontal="center" vertical="center"/>
    </xf>
    <xf numFmtId="0" fontId="2" fillId="4" borderId="31"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10" borderId="31" xfId="0" applyFont="1" applyFill="1" applyBorder="1" applyAlignment="1" applyProtection="1">
      <alignment horizontal="center" vertical="center"/>
    </xf>
    <xf numFmtId="0" fontId="2" fillId="10" borderId="17"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18" xfId="0" applyFont="1" applyFill="1" applyBorder="1" applyAlignment="1" applyProtection="1">
      <alignment horizontal="center" vertical="center"/>
    </xf>
    <xf numFmtId="0" fontId="2" fillId="4" borderId="19" xfId="0" applyFont="1" applyFill="1" applyBorder="1" applyAlignment="1" applyProtection="1">
      <alignment horizontal="center" vertical="center"/>
    </xf>
    <xf numFmtId="0" fontId="2" fillId="4" borderId="20" xfId="0" applyFont="1" applyFill="1" applyBorder="1" applyAlignment="1" applyProtection="1">
      <alignment horizontal="center" vertical="center"/>
    </xf>
    <xf numFmtId="0" fontId="2" fillId="4" borderId="42"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43"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3" fontId="2" fillId="0" borderId="17" xfId="0" applyNumberFormat="1" applyFont="1" applyBorder="1" applyAlignment="1">
      <alignment horizontal="center" vertical="center"/>
    </xf>
    <xf numFmtId="3" fontId="2" fillId="0" borderId="17"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Alignment="1">
      <alignment horizontal="center" vertical="center"/>
    </xf>
    <xf numFmtId="10" fontId="2" fillId="0" borderId="17" xfId="3" applyNumberFormat="1" applyFont="1" applyFill="1" applyBorder="1">
      <alignment vertical="center"/>
    </xf>
    <xf numFmtId="178" fontId="2" fillId="0" borderId="17" xfId="2"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0" fontId="2" fillId="0" borderId="0" xfId="0" applyFont="1" applyFill="1" applyBorder="1">
      <alignment vertical="center"/>
    </xf>
    <xf numFmtId="3" fontId="2" fillId="0" borderId="0" xfId="0" applyNumberFormat="1" applyFont="1" applyFill="1" applyBorder="1">
      <alignment vertical="center"/>
    </xf>
    <xf numFmtId="3" fontId="2" fillId="0" borderId="17" xfId="0" applyNumberFormat="1" applyFont="1" applyFill="1" applyBorder="1" applyAlignment="1">
      <alignment vertical="center" wrapText="1"/>
    </xf>
    <xf numFmtId="3" fontId="2" fillId="0" borderId="0" xfId="0" applyNumberFormat="1" applyFont="1" applyFill="1" applyBorder="1" applyAlignment="1">
      <alignment vertical="center"/>
    </xf>
    <xf numFmtId="3" fontId="2" fillId="0" borderId="17" xfId="0" applyNumberFormat="1" applyFont="1" applyBorder="1" applyAlignment="1">
      <alignment horizontal="center" vertical="center" wrapText="1"/>
    </xf>
    <xf numFmtId="0" fontId="2" fillId="8" borderId="17" xfId="0" applyFont="1" applyFill="1" applyBorder="1" applyAlignment="1">
      <alignment horizontal="right" vertical="center"/>
    </xf>
    <xf numFmtId="0" fontId="2" fillId="8" borderId="17" xfId="0" applyFont="1" applyFill="1" applyBorder="1" applyAlignment="1">
      <alignment horizontal="left" vertical="center"/>
    </xf>
    <xf numFmtId="0" fontId="2" fillId="8" borderId="17" xfId="1" applyFont="1" applyFill="1" applyBorder="1" applyAlignment="1">
      <alignment horizontal="left" vertical="center"/>
    </xf>
  </cellXfs>
  <cellStyles count="5">
    <cellStyle name="パーセント" xfId="3" builtinId="5"/>
    <cellStyle name="桁区切り" xfId="4" builtinId="6"/>
    <cellStyle name="桁区切り 2" xfId="2" xr:uid="{00000000-0005-0000-0000-000002000000}"/>
    <cellStyle name="標準" xfId="0" builtinId="0"/>
    <cellStyle name="標準 2" xfId="1" xr:uid="{00000000-0005-0000-0000-000004000000}"/>
  </cellStyles>
  <dxfs count="2">
    <dxf>
      <fill>
        <patternFill>
          <bgColor rgb="FFFFFF00"/>
        </patternFill>
      </fill>
    </dxf>
    <dxf>
      <fill>
        <patternFill patternType="none">
          <bgColor auto="1"/>
        </patternFill>
      </fill>
    </dxf>
  </dxfs>
  <tableStyles count="0" defaultTableStyle="TableStyleMedium2" defaultPivotStyle="PivotStyleLight16"/>
  <colors>
    <mruColors>
      <color rgb="FFE3FFC9"/>
      <color rgb="FFFFFFCC"/>
      <color rgb="FFD1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6</xdr:col>
      <xdr:colOff>294540</xdr:colOff>
      <xdr:row>39</xdr:row>
      <xdr:rowOff>37367</xdr:rowOff>
    </xdr:from>
    <xdr:to>
      <xdr:col>6</xdr:col>
      <xdr:colOff>843815</xdr:colOff>
      <xdr:row>39</xdr:row>
      <xdr:rowOff>317255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flipH="1">
          <a:off x="6617675" y="11892329"/>
          <a:ext cx="549275" cy="27988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323850</xdr:colOff>
      <xdr:row>21</xdr:row>
      <xdr:rowOff>142875</xdr:rowOff>
    </xdr:from>
    <xdr:to>
      <xdr:col>3</xdr:col>
      <xdr:colOff>866775</xdr:colOff>
      <xdr:row>23</xdr:row>
      <xdr:rowOff>161925</xdr:rowOff>
    </xdr:to>
    <xdr:sp macro="" textlink="">
      <xdr:nvSpPr>
        <xdr:cNvPr id="3" name="曲折矢印 2">
          <a:extLst>
            <a:ext uri="{FF2B5EF4-FFF2-40B4-BE49-F238E27FC236}">
              <a16:creationId xmlns:a16="http://schemas.microsoft.com/office/drawing/2014/main" id="{00000000-0008-0000-0000-000003000000}"/>
            </a:ext>
          </a:extLst>
        </xdr:cNvPr>
        <xdr:cNvSpPr/>
      </xdr:nvSpPr>
      <xdr:spPr>
        <a:xfrm>
          <a:off x="3286125" y="5562600"/>
          <a:ext cx="542925" cy="590550"/>
        </a:xfrm>
        <a:prstGeom prst="bentArrow">
          <a:avLst/>
        </a:prstGeom>
        <a:solidFill>
          <a:schemeClr val="tx1"/>
        </a:solidFill>
        <a:ln>
          <a:solidFill>
            <a:schemeClr val="tx1"/>
          </a:solid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5</xdr:col>
          <xdr:colOff>1250950</xdr:colOff>
          <xdr:row>0</xdr:row>
          <xdr:rowOff>88900</xdr:rowOff>
        </xdr:from>
        <xdr:to>
          <xdr:col>7</xdr:col>
          <xdr:colOff>1098550</xdr:colOff>
          <xdr:row>2</xdr:row>
          <xdr:rowOff>107950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73152" tIns="109728" rIns="73152" bIns="109728" anchor="ctr" upright="1"/>
            <a:lstStyle/>
            <a:p>
              <a:pPr algn="ctr" rtl="0">
                <a:defRPr sz="1000"/>
              </a:pPr>
              <a:r>
                <a:rPr lang="ja-JP" altLang="en-US" sz="2200" b="0" i="0" u="none" strike="noStrike" baseline="0">
                  <a:solidFill>
                    <a:srgbClr val="000000"/>
                  </a:solidFill>
                  <a:latin typeface="メイリオ"/>
                  <a:ea typeface="メイリオ"/>
                </a:rPr>
                <a:t>リセット</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235404</xdr:colOff>
      <xdr:row>0</xdr:row>
      <xdr:rowOff>121479</xdr:rowOff>
    </xdr:from>
    <xdr:to>
      <xdr:col>13</xdr:col>
      <xdr:colOff>829006</xdr:colOff>
      <xdr:row>7</xdr:row>
      <xdr:rowOff>132176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967186" y="124654"/>
          <a:ext cx="9241395" cy="2538451"/>
          <a:chOff x="4572001" y="326572"/>
          <a:chExt cx="8240108" cy="1768397"/>
        </a:xfrm>
      </xdr:grpSpPr>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728604" y="337410"/>
            <a:ext cx="1958068" cy="175550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chemeClr val="tx1"/>
                </a:solidFill>
                <a:latin typeface="03スマートフォントUI" panose="02000600000000000000" pitchFamily="50" charset="-128"/>
                <a:ea typeface="03スマートフォントUI" panose="02000600000000000000" pitchFamily="50" charset="-128"/>
              </a:rPr>
              <a:t>【</a:t>
            </a:r>
            <a:r>
              <a:rPr kumimoji="1" lang="ja-JP" altLang="en-US" sz="2000">
                <a:solidFill>
                  <a:schemeClr val="tx1"/>
                </a:solidFill>
                <a:latin typeface="03スマートフォントUI" panose="02000600000000000000" pitchFamily="50" charset="-128"/>
                <a:ea typeface="03スマートフォントUI" panose="02000600000000000000" pitchFamily="50" charset="-128"/>
              </a:rPr>
              <a:t>医療分</a:t>
            </a: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①所得割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②均等割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③平等割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ct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限度額</a:t>
            </a:r>
            <a:r>
              <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670,000</a:t>
            </a: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円</a:t>
            </a:r>
            <a:endParaRPr kumimoji="1" lang="ja-JP" altLang="en-US" sz="1400">
              <a:solidFill>
                <a:schemeClr val="tx1"/>
              </a:solidFill>
              <a:latin typeface="03スマートフォントUI" panose="02000600000000000000" pitchFamily="50" charset="-128"/>
              <a:ea typeface="03スマートフォントUI" panose="02000600000000000000" pitchFamily="50" charset="-128"/>
            </a:endParaRPr>
          </a:p>
        </xdr:txBody>
      </xdr:sp>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8272115" y="334713"/>
            <a:ext cx="1958068" cy="1753441"/>
          </a:xfrm>
          <a:prstGeom prst="roundRect">
            <a:avLst/>
          </a:prstGeom>
          <a:solidFill>
            <a:srgbClr val="EEC6F6"/>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r>
              <a:rPr kumimoji="1" lang="ja-JP" altLang="en-US" sz="2000">
                <a:solidFill>
                  <a:schemeClr val="tx1"/>
                </a:solidFill>
                <a:latin typeface="03スマートフォントUI" panose="02000600000000000000" pitchFamily="50" charset="-128"/>
                <a:ea typeface="03スマートフォントUI" panose="02000600000000000000" pitchFamily="50" charset="-128"/>
              </a:rPr>
              <a:t>支援金分</a:t>
            </a: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①所得割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②均等割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③平等割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ct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限度額</a:t>
            </a:r>
            <a:r>
              <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260,000</a:t>
            </a: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円</a:t>
            </a:r>
            <a:endParaRPr kumimoji="1" lang="ja-JP" altLang="en-US" sz="1400">
              <a:solidFill>
                <a:schemeClr val="tx1"/>
              </a:solidFill>
              <a:latin typeface="03スマートフォントUI" panose="02000600000000000000" pitchFamily="50" charset="-128"/>
              <a:ea typeface="03スマートフォントUI" panose="02000600000000000000" pitchFamily="50" charset="-128"/>
            </a:endParaRPr>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0854041" y="341529"/>
            <a:ext cx="1958068" cy="1753440"/>
          </a:xfrm>
          <a:prstGeom prst="roundRect">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r>
              <a:rPr kumimoji="1" lang="ja-JP" altLang="en-US" sz="2000">
                <a:solidFill>
                  <a:schemeClr val="tx1"/>
                </a:solidFill>
                <a:latin typeface="03スマートフォントUI" panose="02000600000000000000" pitchFamily="50" charset="-128"/>
                <a:ea typeface="03スマートフォントUI" panose="02000600000000000000" pitchFamily="50" charset="-128"/>
              </a:rPr>
              <a:t>介護分</a:t>
            </a: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p>
          <a:p>
            <a:pPr algn="ctr"/>
            <a:r>
              <a:rPr kumimoji="1" lang="ja-JP" altLang="en-US" sz="1800">
                <a:solidFill>
                  <a:schemeClr val="tx1"/>
                </a:solidFill>
                <a:latin typeface="03スマートフォントUI" panose="02000600000000000000" pitchFamily="50" charset="-128"/>
                <a:ea typeface="03スマートフォントUI" panose="02000600000000000000" pitchFamily="50" charset="-128"/>
              </a:rPr>
              <a:t>（</a:t>
            </a:r>
            <a:r>
              <a:rPr kumimoji="1" lang="en-US" altLang="ja-JP" sz="1800">
                <a:solidFill>
                  <a:schemeClr val="tx1"/>
                </a:solidFill>
                <a:latin typeface="03スマートフォントUI" panose="02000600000000000000" pitchFamily="50" charset="-128"/>
                <a:ea typeface="03スマートフォントUI" panose="02000600000000000000" pitchFamily="50" charset="-128"/>
              </a:rPr>
              <a:t>40</a:t>
            </a:r>
            <a:r>
              <a:rPr kumimoji="1" lang="ja-JP" altLang="en-US" sz="1800">
                <a:solidFill>
                  <a:schemeClr val="tx1"/>
                </a:solidFill>
                <a:latin typeface="03スマートフォントUI" panose="02000600000000000000" pitchFamily="50" charset="-128"/>
                <a:ea typeface="03スマートフォントUI" panose="02000600000000000000" pitchFamily="50" charset="-128"/>
              </a:rPr>
              <a:t>～</a:t>
            </a:r>
            <a:r>
              <a:rPr kumimoji="1" lang="en-US" altLang="ja-JP" sz="1800">
                <a:solidFill>
                  <a:schemeClr val="tx1"/>
                </a:solidFill>
                <a:latin typeface="03スマートフォントUI" panose="02000600000000000000" pitchFamily="50" charset="-128"/>
                <a:ea typeface="03スマートフォントUI" panose="02000600000000000000" pitchFamily="50" charset="-128"/>
              </a:rPr>
              <a:t>64</a:t>
            </a:r>
            <a:r>
              <a:rPr kumimoji="1" lang="ja-JP" altLang="en-US" sz="1800">
                <a:solidFill>
                  <a:schemeClr val="tx1"/>
                </a:solidFill>
                <a:latin typeface="03スマートフォントUI" panose="02000600000000000000" pitchFamily="50" charset="-128"/>
                <a:ea typeface="03スマートフォントUI" panose="02000600000000000000" pitchFamily="50" charset="-128"/>
              </a:rPr>
              <a:t>歳）</a:t>
            </a:r>
            <a:endParaRPr kumimoji="1" lang="en-US" altLang="ja-JP" sz="1800">
              <a:solidFill>
                <a:schemeClr val="tx1"/>
              </a:solidFill>
              <a:latin typeface="03スマートフォントUI" panose="02000600000000000000" pitchFamily="50" charset="-128"/>
              <a:ea typeface="03スマートフォントUI" panose="02000600000000000000" pitchFamily="50" charset="-128"/>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①所得割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②均等割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③平等割</a:t>
            </a:r>
            <a:endPar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ct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限度額</a:t>
            </a:r>
            <a:r>
              <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170,000</a:t>
            </a: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円</a:t>
            </a:r>
            <a:endParaRPr kumimoji="1" lang="ja-JP" altLang="en-US" sz="1400">
              <a:solidFill>
                <a:schemeClr val="tx1"/>
              </a:solidFill>
              <a:latin typeface="03スマートフォントUI" panose="02000600000000000000" pitchFamily="50" charset="-128"/>
              <a:ea typeface="03スマートフォントUI" panose="02000600000000000000" pitchFamily="50" charset="-128"/>
            </a:endParaRPr>
          </a:p>
        </xdr:txBody>
      </xdr:sp>
      <xdr:sp macro="" textlink="">
        <xdr:nvSpPr>
          <xdr:cNvPr id="6" name="等号 5">
            <a:extLst>
              <a:ext uri="{FF2B5EF4-FFF2-40B4-BE49-F238E27FC236}">
                <a16:creationId xmlns:a16="http://schemas.microsoft.com/office/drawing/2014/main" id="{00000000-0008-0000-0300-000006000000}"/>
              </a:ext>
            </a:extLst>
          </xdr:cNvPr>
          <xdr:cNvSpPr/>
        </xdr:nvSpPr>
        <xdr:spPr>
          <a:xfrm>
            <a:off x="5265964" y="1004281"/>
            <a:ext cx="421822" cy="408214"/>
          </a:xfrm>
          <a:prstGeom prst="mathEqual">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572001" y="326572"/>
            <a:ext cx="666750" cy="1753350"/>
          </a:xfrm>
          <a:prstGeom prst="round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2400">
                <a:solidFill>
                  <a:schemeClr val="tx1"/>
                </a:solidFill>
                <a:latin typeface="03スマートフォントUI" panose="02000600000000000000" pitchFamily="50" charset="-128"/>
                <a:ea typeface="03スマートフォントUI" panose="02000600000000000000" pitchFamily="50" charset="-128"/>
              </a:rPr>
              <a:t>保険税額</a:t>
            </a:r>
          </a:p>
        </xdr:txBody>
      </xdr:sp>
    </xdr:grpSp>
    <xdr:clientData/>
  </xdr:twoCellAnchor>
  <xdr:twoCellAnchor>
    <xdr:from>
      <xdr:col>9</xdr:col>
      <xdr:colOff>560158</xdr:colOff>
      <xdr:row>3</xdr:row>
      <xdr:rowOff>102507</xdr:rowOff>
    </xdr:from>
    <xdr:to>
      <xdr:col>9</xdr:col>
      <xdr:colOff>1088571</xdr:colOff>
      <xdr:row>4</xdr:row>
      <xdr:rowOff>231321</xdr:rowOff>
    </xdr:to>
    <xdr:sp macro="" textlink="">
      <xdr:nvSpPr>
        <xdr:cNvPr id="9" name="加算 8">
          <a:extLst>
            <a:ext uri="{FF2B5EF4-FFF2-40B4-BE49-F238E27FC236}">
              <a16:creationId xmlns:a16="http://schemas.microsoft.com/office/drawing/2014/main" id="{00000000-0008-0000-0300-000009000000}"/>
            </a:ext>
          </a:extLst>
        </xdr:cNvPr>
        <xdr:cNvSpPr/>
      </xdr:nvSpPr>
      <xdr:spPr>
        <a:xfrm>
          <a:off x="9486444" y="1109436"/>
          <a:ext cx="528413" cy="509814"/>
        </a:xfrm>
        <a:prstGeom prst="mathPlus">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173718</xdr:colOff>
      <xdr:row>0</xdr:row>
      <xdr:rowOff>119291</xdr:rowOff>
    </xdr:from>
    <xdr:to>
      <xdr:col>16</xdr:col>
      <xdr:colOff>437504</xdr:colOff>
      <xdr:row>7</xdr:row>
      <xdr:rowOff>102012</xdr:rowOff>
    </xdr:to>
    <xdr:sp macro="" textlink="">
      <xdr:nvSpPr>
        <xdr:cNvPr id="10" name="角丸四角形 4">
          <a:extLst>
            <a:ext uri="{FF2B5EF4-FFF2-40B4-BE49-F238E27FC236}">
              <a16:creationId xmlns:a16="http://schemas.microsoft.com/office/drawing/2014/main" id="{57292DDB-046C-455B-8E53-4E70C4D81315}"/>
            </a:ext>
          </a:extLst>
        </xdr:cNvPr>
        <xdr:cNvSpPr/>
      </xdr:nvSpPr>
      <xdr:spPr>
        <a:xfrm>
          <a:off x="15862754" y="119291"/>
          <a:ext cx="2196000" cy="2513650"/>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r>
            <a:rPr kumimoji="1" lang="ja-JP" altLang="en-US" sz="2000">
              <a:solidFill>
                <a:schemeClr val="tx1"/>
              </a:solidFill>
              <a:latin typeface="03スマートフォントUI" panose="02000600000000000000" pitchFamily="50" charset="-128"/>
              <a:ea typeface="03スマートフォントUI" panose="02000600000000000000" pitchFamily="50" charset="-128"/>
            </a:rPr>
            <a:t>子ども分</a:t>
          </a:r>
          <a:r>
            <a:rPr kumimoji="1" lang="en-US" altLang="ja-JP" sz="2000">
              <a:solidFill>
                <a:schemeClr val="tx1"/>
              </a:solidFill>
              <a:latin typeface="03スマートフォントUI" panose="02000600000000000000" pitchFamily="50" charset="-128"/>
              <a:ea typeface="03スマートフォントUI" panose="02000600000000000000" pitchFamily="50" charset="-128"/>
            </a:rPr>
            <a:t>】</a:t>
          </a: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①所得割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②均等割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③平等割</a:t>
          </a:r>
          <a:endPar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l"/>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④</a:t>
          </a:r>
          <a:r>
            <a:rPr lang="en-US" altLang="ja-JP"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18</a:t>
          </a:r>
          <a:r>
            <a:rPr lang="ja-JP" altLang="en-US" sz="16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歳以上均等割</a:t>
          </a:r>
          <a:endPar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endParaRPr>
        </a:p>
        <a:p>
          <a:pPr algn="ct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限度額</a:t>
          </a:r>
          <a:r>
            <a:rPr lang="en-US" altLang="ja-JP"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30,000</a:t>
          </a:r>
          <a:r>
            <a:rPr lang="ja-JP" altLang="en-US" sz="1400" b="0" i="0" u="none" strike="noStrike">
              <a:solidFill>
                <a:schemeClr val="tx1"/>
              </a:solidFill>
              <a:effectLst/>
              <a:latin typeface="03スマートフォントUI" panose="02000600000000000000" pitchFamily="50" charset="-128"/>
              <a:ea typeface="03スマートフォントUI" panose="02000600000000000000" pitchFamily="50" charset="-128"/>
              <a:cs typeface="+mn-cs"/>
            </a:rPr>
            <a:t>円</a:t>
          </a:r>
          <a:endParaRPr kumimoji="1" lang="ja-JP" altLang="en-US" sz="1400">
            <a:solidFill>
              <a:schemeClr val="tx1"/>
            </a:solidFill>
            <a:latin typeface="03スマートフォントUI" panose="02000600000000000000" pitchFamily="50" charset="-128"/>
            <a:ea typeface="03スマートフォントUI" panose="02000600000000000000" pitchFamily="50" charset="-128"/>
          </a:endParaRPr>
        </a:p>
      </xdr:txBody>
    </xdr:sp>
    <xdr:clientData/>
  </xdr:twoCellAnchor>
  <xdr:twoCellAnchor>
    <xdr:from>
      <xdr:col>11</xdr:col>
      <xdr:colOff>617762</xdr:colOff>
      <xdr:row>3</xdr:row>
      <xdr:rowOff>105682</xdr:rowOff>
    </xdr:from>
    <xdr:to>
      <xdr:col>11</xdr:col>
      <xdr:colOff>1139825</xdr:colOff>
      <xdr:row>4</xdr:row>
      <xdr:rowOff>228146</xdr:rowOff>
    </xdr:to>
    <xdr:sp macro="" textlink="">
      <xdr:nvSpPr>
        <xdr:cNvPr id="12" name="加算 8">
          <a:extLst>
            <a:ext uri="{FF2B5EF4-FFF2-40B4-BE49-F238E27FC236}">
              <a16:creationId xmlns:a16="http://schemas.microsoft.com/office/drawing/2014/main" id="{92F5E814-EA61-4DED-8033-DEF7B4036B71}"/>
            </a:ext>
          </a:extLst>
        </xdr:cNvPr>
        <xdr:cNvSpPr/>
      </xdr:nvSpPr>
      <xdr:spPr>
        <a:xfrm>
          <a:off x="12387941" y="1112611"/>
          <a:ext cx="522063" cy="503464"/>
        </a:xfrm>
        <a:prstGeom prst="mathPlus">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865866</xdr:colOff>
      <xdr:row>3</xdr:row>
      <xdr:rowOff>102507</xdr:rowOff>
    </xdr:from>
    <xdr:to>
      <xdr:col>14</xdr:col>
      <xdr:colOff>81643</xdr:colOff>
      <xdr:row>4</xdr:row>
      <xdr:rowOff>231321</xdr:rowOff>
    </xdr:to>
    <xdr:sp macro="" textlink="">
      <xdr:nvSpPr>
        <xdr:cNvPr id="13" name="加算 8">
          <a:extLst>
            <a:ext uri="{FF2B5EF4-FFF2-40B4-BE49-F238E27FC236}">
              <a16:creationId xmlns:a16="http://schemas.microsoft.com/office/drawing/2014/main" id="{AA0A1BB9-D01E-4D07-B6BA-EA94AB086E16}"/>
            </a:ext>
          </a:extLst>
        </xdr:cNvPr>
        <xdr:cNvSpPr/>
      </xdr:nvSpPr>
      <xdr:spPr>
        <a:xfrm>
          <a:off x="15248616" y="1109436"/>
          <a:ext cx="522063" cy="509814"/>
        </a:xfrm>
        <a:prstGeom prst="mathPlus">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5"/>
  <sheetViews>
    <sheetView tabSelected="1" zoomScale="130" zoomScaleNormal="130" workbookViewId="0">
      <selection activeCell="C6" sqref="C6"/>
    </sheetView>
  </sheetViews>
  <sheetFormatPr defaultRowHeight="17.5" x14ac:dyDescent="0.2"/>
  <cols>
    <col min="1" max="1" width="3.90625" style="32" bestFit="1" customWidth="1"/>
    <col min="2" max="6" width="17.36328125" style="32" customWidth="1"/>
    <col min="7" max="11" width="16.6328125" style="32" customWidth="1"/>
    <col min="12" max="12" width="5.08984375" style="32" customWidth="1"/>
    <col min="13" max="13" width="11.08984375" style="32" hidden="1" customWidth="1"/>
    <col min="14" max="14" width="9.08984375" style="32" hidden="1" customWidth="1"/>
    <col min="15" max="15" width="11.08984375" style="32" hidden="1" customWidth="1"/>
    <col min="16" max="16" width="12.08984375" style="32" hidden="1" customWidth="1"/>
    <col min="17" max="17" width="8.7265625" style="32" hidden="1" customWidth="1"/>
    <col min="18" max="18" width="6" style="32" hidden="1" customWidth="1"/>
    <col min="19" max="258" width="9" style="32"/>
    <col min="259" max="259" width="3.90625" style="32" bestFit="1" customWidth="1"/>
    <col min="260" max="264" width="17.36328125" style="32" customWidth="1"/>
    <col min="265" max="267" width="15.6328125" style="32" customWidth="1"/>
    <col min="268" max="268" width="10.90625" style="32" customWidth="1"/>
    <col min="269" max="270" width="0" style="32" hidden="1" customWidth="1"/>
    <col min="271" max="271" width="9.36328125" style="32" customWidth="1"/>
    <col min="272" max="272" width="10" style="32" customWidth="1"/>
    <col min="273" max="273" width="9" style="32"/>
    <col min="274" max="274" width="6" style="32" customWidth="1"/>
    <col min="275" max="514" width="9" style="32"/>
    <col min="515" max="515" width="3.90625" style="32" bestFit="1" customWidth="1"/>
    <col min="516" max="520" width="17.36328125" style="32" customWidth="1"/>
    <col min="521" max="523" width="15.6328125" style="32" customWidth="1"/>
    <col min="524" max="524" width="10.90625" style="32" customWidth="1"/>
    <col min="525" max="526" width="0" style="32" hidden="1" customWidth="1"/>
    <col min="527" max="527" width="9.36328125" style="32" customWidth="1"/>
    <col min="528" max="528" width="10" style="32" customWidth="1"/>
    <col min="529" max="529" width="9" style="32"/>
    <col min="530" max="530" width="6" style="32" customWidth="1"/>
    <col min="531" max="770" width="9" style="32"/>
    <col min="771" max="771" width="3.90625" style="32" bestFit="1" customWidth="1"/>
    <col min="772" max="776" width="17.36328125" style="32" customWidth="1"/>
    <col min="777" max="779" width="15.6328125" style="32" customWidth="1"/>
    <col min="780" max="780" width="10.90625" style="32" customWidth="1"/>
    <col min="781" max="782" width="0" style="32" hidden="1" customWidth="1"/>
    <col min="783" max="783" width="9.36328125" style="32" customWidth="1"/>
    <col min="784" max="784" width="10" style="32" customWidth="1"/>
    <col min="785" max="785" width="9" style="32"/>
    <col min="786" max="786" width="6" style="32" customWidth="1"/>
    <col min="787" max="1026" width="9" style="32"/>
    <col min="1027" max="1027" width="3.90625" style="32" bestFit="1" customWidth="1"/>
    <col min="1028" max="1032" width="17.36328125" style="32" customWidth="1"/>
    <col min="1033" max="1035" width="15.6328125" style="32" customWidth="1"/>
    <col min="1036" max="1036" width="10.90625" style="32" customWidth="1"/>
    <col min="1037" max="1038" width="0" style="32" hidden="1" customWidth="1"/>
    <col min="1039" max="1039" width="9.36328125" style="32" customWidth="1"/>
    <col min="1040" max="1040" width="10" style="32" customWidth="1"/>
    <col min="1041" max="1041" width="9" style="32"/>
    <col min="1042" max="1042" width="6" style="32" customWidth="1"/>
    <col min="1043" max="1282" width="9" style="32"/>
    <col min="1283" max="1283" width="3.90625" style="32" bestFit="1" customWidth="1"/>
    <col min="1284" max="1288" width="17.36328125" style="32" customWidth="1"/>
    <col min="1289" max="1291" width="15.6328125" style="32" customWidth="1"/>
    <col min="1292" max="1292" width="10.90625" style="32" customWidth="1"/>
    <col min="1293" max="1294" width="0" style="32" hidden="1" customWidth="1"/>
    <col min="1295" max="1295" width="9.36328125" style="32" customWidth="1"/>
    <col min="1296" max="1296" width="10" style="32" customWidth="1"/>
    <col min="1297" max="1297" width="9" style="32"/>
    <col min="1298" max="1298" width="6" style="32" customWidth="1"/>
    <col min="1299" max="1538" width="9" style="32"/>
    <col min="1539" max="1539" width="3.90625" style="32" bestFit="1" customWidth="1"/>
    <col min="1540" max="1544" width="17.36328125" style="32" customWidth="1"/>
    <col min="1545" max="1547" width="15.6328125" style="32" customWidth="1"/>
    <col min="1548" max="1548" width="10.90625" style="32" customWidth="1"/>
    <col min="1549" max="1550" width="0" style="32" hidden="1" customWidth="1"/>
    <col min="1551" max="1551" width="9.36328125" style="32" customWidth="1"/>
    <col min="1552" max="1552" width="10" style="32" customWidth="1"/>
    <col min="1553" max="1553" width="9" style="32"/>
    <col min="1554" max="1554" width="6" style="32" customWidth="1"/>
    <col min="1555" max="1794" width="9" style="32"/>
    <col min="1795" max="1795" width="3.90625" style="32" bestFit="1" customWidth="1"/>
    <col min="1796" max="1800" width="17.36328125" style="32" customWidth="1"/>
    <col min="1801" max="1803" width="15.6328125" style="32" customWidth="1"/>
    <col min="1804" max="1804" width="10.90625" style="32" customWidth="1"/>
    <col min="1805" max="1806" width="0" style="32" hidden="1" customWidth="1"/>
    <col min="1807" max="1807" width="9.36328125" style="32" customWidth="1"/>
    <col min="1808" max="1808" width="10" style="32" customWidth="1"/>
    <col min="1809" max="1809" width="9" style="32"/>
    <col min="1810" max="1810" width="6" style="32" customWidth="1"/>
    <col min="1811" max="2050" width="9" style="32"/>
    <col min="2051" max="2051" width="3.90625" style="32" bestFit="1" customWidth="1"/>
    <col min="2052" max="2056" width="17.36328125" style="32" customWidth="1"/>
    <col min="2057" max="2059" width="15.6328125" style="32" customWidth="1"/>
    <col min="2060" max="2060" width="10.90625" style="32" customWidth="1"/>
    <col min="2061" max="2062" width="0" style="32" hidden="1" customWidth="1"/>
    <col min="2063" max="2063" width="9.36328125" style="32" customWidth="1"/>
    <col min="2064" max="2064" width="10" style="32" customWidth="1"/>
    <col min="2065" max="2065" width="9" style="32"/>
    <col min="2066" max="2066" width="6" style="32" customWidth="1"/>
    <col min="2067" max="2306" width="9" style="32"/>
    <col min="2307" max="2307" width="3.90625" style="32" bestFit="1" customWidth="1"/>
    <col min="2308" max="2312" width="17.36328125" style="32" customWidth="1"/>
    <col min="2313" max="2315" width="15.6328125" style="32" customWidth="1"/>
    <col min="2316" max="2316" width="10.90625" style="32" customWidth="1"/>
    <col min="2317" max="2318" width="0" style="32" hidden="1" customWidth="1"/>
    <col min="2319" max="2319" width="9.36328125" style="32" customWidth="1"/>
    <col min="2320" max="2320" width="10" style="32" customWidth="1"/>
    <col min="2321" max="2321" width="9" style="32"/>
    <col min="2322" max="2322" width="6" style="32" customWidth="1"/>
    <col min="2323" max="2562" width="9" style="32"/>
    <col min="2563" max="2563" width="3.90625" style="32" bestFit="1" customWidth="1"/>
    <col min="2564" max="2568" width="17.36328125" style="32" customWidth="1"/>
    <col min="2569" max="2571" width="15.6328125" style="32" customWidth="1"/>
    <col min="2572" max="2572" width="10.90625" style="32" customWidth="1"/>
    <col min="2573" max="2574" width="0" style="32" hidden="1" customWidth="1"/>
    <col min="2575" max="2575" width="9.36328125" style="32" customWidth="1"/>
    <col min="2576" max="2576" width="10" style="32" customWidth="1"/>
    <col min="2577" max="2577" width="9" style="32"/>
    <col min="2578" max="2578" width="6" style="32" customWidth="1"/>
    <col min="2579" max="2818" width="9" style="32"/>
    <col min="2819" max="2819" width="3.90625" style="32" bestFit="1" customWidth="1"/>
    <col min="2820" max="2824" width="17.36328125" style="32" customWidth="1"/>
    <col min="2825" max="2827" width="15.6328125" style="32" customWidth="1"/>
    <col min="2828" max="2828" width="10.90625" style="32" customWidth="1"/>
    <col min="2829" max="2830" width="0" style="32" hidden="1" customWidth="1"/>
    <col min="2831" max="2831" width="9.36328125" style="32" customWidth="1"/>
    <col min="2832" max="2832" width="10" style="32" customWidth="1"/>
    <col min="2833" max="2833" width="9" style="32"/>
    <col min="2834" max="2834" width="6" style="32" customWidth="1"/>
    <col min="2835" max="3074" width="9" style="32"/>
    <col min="3075" max="3075" width="3.90625" style="32" bestFit="1" customWidth="1"/>
    <col min="3076" max="3080" width="17.36328125" style="32" customWidth="1"/>
    <col min="3081" max="3083" width="15.6328125" style="32" customWidth="1"/>
    <col min="3084" max="3084" width="10.90625" style="32" customWidth="1"/>
    <col min="3085" max="3086" width="0" style="32" hidden="1" customWidth="1"/>
    <col min="3087" max="3087" width="9.36328125" style="32" customWidth="1"/>
    <col min="3088" max="3088" width="10" style="32" customWidth="1"/>
    <col min="3089" max="3089" width="9" style="32"/>
    <col min="3090" max="3090" width="6" style="32" customWidth="1"/>
    <col min="3091" max="3330" width="9" style="32"/>
    <col min="3331" max="3331" width="3.90625" style="32" bestFit="1" customWidth="1"/>
    <col min="3332" max="3336" width="17.36328125" style="32" customWidth="1"/>
    <col min="3337" max="3339" width="15.6328125" style="32" customWidth="1"/>
    <col min="3340" max="3340" width="10.90625" style="32" customWidth="1"/>
    <col min="3341" max="3342" width="0" style="32" hidden="1" customWidth="1"/>
    <col min="3343" max="3343" width="9.36328125" style="32" customWidth="1"/>
    <col min="3344" max="3344" width="10" style="32" customWidth="1"/>
    <col min="3345" max="3345" width="9" style="32"/>
    <col min="3346" max="3346" width="6" style="32" customWidth="1"/>
    <col min="3347" max="3586" width="9" style="32"/>
    <col min="3587" max="3587" width="3.90625" style="32" bestFit="1" customWidth="1"/>
    <col min="3588" max="3592" width="17.36328125" style="32" customWidth="1"/>
    <col min="3593" max="3595" width="15.6328125" style="32" customWidth="1"/>
    <col min="3596" max="3596" width="10.90625" style="32" customWidth="1"/>
    <col min="3597" max="3598" width="0" style="32" hidden="1" customWidth="1"/>
    <col min="3599" max="3599" width="9.36328125" style="32" customWidth="1"/>
    <col min="3600" max="3600" width="10" style="32" customWidth="1"/>
    <col min="3601" max="3601" width="9" style="32"/>
    <col min="3602" max="3602" width="6" style="32" customWidth="1"/>
    <col min="3603" max="3842" width="9" style="32"/>
    <col min="3843" max="3843" width="3.90625" style="32" bestFit="1" customWidth="1"/>
    <col min="3844" max="3848" width="17.36328125" style="32" customWidth="1"/>
    <col min="3849" max="3851" width="15.6328125" style="32" customWidth="1"/>
    <col min="3852" max="3852" width="10.90625" style="32" customWidth="1"/>
    <col min="3853" max="3854" width="0" style="32" hidden="1" customWidth="1"/>
    <col min="3855" max="3855" width="9.36328125" style="32" customWidth="1"/>
    <col min="3856" max="3856" width="10" style="32" customWidth="1"/>
    <col min="3857" max="3857" width="9" style="32"/>
    <col min="3858" max="3858" width="6" style="32" customWidth="1"/>
    <col min="3859" max="4098" width="9" style="32"/>
    <col min="4099" max="4099" width="3.90625" style="32" bestFit="1" customWidth="1"/>
    <col min="4100" max="4104" width="17.36328125" style="32" customWidth="1"/>
    <col min="4105" max="4107" width="15.6328125" style="32" customWidth="1"/>
    <col min="4108" max="4108" width="10.90625" style="32" customWidth="1"/>
    <col min="4109" max="4110" width="0" style="32" hidden="1" customWidth="1"/>
    <col min="4111" max="4111" width="9.36328125" style="32" customWidth="1"/>
    <col min="4112" max="4112" width="10" style="32" customWidth="1"/>
    <col min="4113" max="4113" width="9" style="32"/>
    <col min="4114" max="4114" width="6" style="32" customWidth="1"/>
    <col min="4115" max="4354" width="9" style="32"/>
    <col min="4355" max="4355" width="3.90625" style="32" bestFit="1" customWidth="1"/>
    <col min="4356" max="4360" width="17.36328125" style="32" customWidth="1"/>
    <col min="4361" max="4363" width="15.6328125" style="32" customWidth="1"/>
    <col min="4364" max="4364" width="10.90625" style="32" customWidth="1"/>
    <col min="4365" max="4366" width="0" style="32" hidden="1" customWidth="1"/>
    <col min="4367" max="4367" width="9.36328125" style="32" customWidth="1"/>
    <col min="4368" max="4368" width="10" style="32" customWidth="1"/>
    <col min="4369" max="4369" width="9" style="32"/>
    <col min="4370" max="4370" width="6" style="32" customWidth="1"/>
    <col min="4371" max="4610" width="9" style="32"/>
    <col min="4611" max="4611" width="3.90625" style="32" bestFit="1" customWidth="1"/>
    <col min="4612" max="4616" width="17.36328125" style="32" customWidth="1"/>
    <col min="4617" max="4619" width="15.6328125" style="32" customWidth="1"/>
    <col min="4620" max="4620" width="10.90625" style="32" customWidth="1"/>
    <col min="4621" max="4622" width="0" style="32" hidden="1" customWidth="1"/>
    <col min="4623" max="4623" width="9.36328125" style="32" customWidth="1"/>
    <col min="4624" max="4624" width="10" style="32" customWidth="1"/>
    <col min="4625" max="4625" width="9" style="32"/>
    <col min="4626" max="4626" width="6" style="32" customWidth="1"/>
    <col min="4627" max="4866" width="9" style="32"/>
    <col min="4867" max="4867" width="3.90625" style="32" bestFit="1" customWidth="1"/>
    <col min="4868" max="4872" width="17.36328125" style="32" customWidth="1"/>
    <col min="4873" max="4875" width="15.6328125" style="32" customWidth="1"/>
    <col min="4876" max="4876" width="10.90625" style="32" customWidth="1"/>
    <col min="4877" max="4878" width="0" style="32" hidden="1" customWidth="1"/>
    <col min="4879" max="4879" width="9.36328125" style="32" customWidth="1"/>
    <col min="4880" max="4880" width="10" style="32" customWidth="1"/>
    <col min="4881" max="4881" width="9" style="32"/>
    <col min="4882" max="4882" width="6" style="32" customWidth="1"/>
    <col min="4883" max="5122" width="9" style="32"/>
    <col min="5123" max="5123" width="3.90625" style="32" bestFit="1" customWidth="1"/>
    <col min="5124" max="5128" width="17.36328125" style="32" customWidth="1"/>
    <col min="5129" max="5131" width="15.6328125" style="32" customWidth="1"/>
    <col min="5132" max="5132" width="10.90625" style="32" customWidth="1"/>
    <col min="5133" max="5134" width="0" style="32" hidden="1" customWidth="1"/>
    <col min="5135" max="5135" width="9.36328125" style="32" customWidth="1"/>
    <col min="5136" max="5136" width="10" style="32" customWidth="1"/>
    <col min="5137" max="5137" width="9" style="32"/>
    <col min="5138" max="5138" width="6" style="32" customWidth="1"/>
    <col min="5139" max="5378" width="9" style="32"/>
    <col min="5379" max="5379" width="3.90625" style="32" bestFit="1" customWidth="1"/>
    <col min="5380" max="5384" width="17.36328125" style="32" customWidth="1"/>
    <col min="5385" max="5387" width="15.6328125" style="32" customWidth="1"/>
    <col min="5388" max="5388" width="10.90625" style="32" customWidth="1"/>
    <col min="5389" max="5390" width="0" style="32" hidden="1" customWidth="1"/>
    <col min="5391" max="5391" width="9.36328125" style="32" customWidth="1"/>
    <col min="5392" max="5392" width="10" style="32" customWidth="1"/>
    <col min="5393" max="5393" width="9" style="32"/>
    <col min="5394" max="5394" width="6" style="32" customWidth="1"/>
    <col min="5395" max="5634" width="9" style="32"/>
    <col min="5635" max="5635" width="3.90625" style="32" bestFit="1" customWidth="1"/>
    <col min="5636" max="5640" width="17.36328125" style="32" customWidth="1"/>
    <col min="5641" max="5643" width="15.6328125" style="32" customWidth="1"/>
    <col min="5644" max="5644" width="10.90625" style="32" customWidth="1"/>
    <col min="5645" max="5646" width="0" style="32" hidden="1" customWidth="1"/>
    <col min="5647" max="5647" width="9.36328125" style="32" customWidth="1"/>
    <col min="5648" max="5648" width="10" style="32" customWidth="1"/>
    <col min="5649" max="5649" width="9" style="32"/>
    <col min="5650" max="5650" width="6" style="32" customWidth="1"/>
    <col min="5651" max="5890" width="9" style="32"/>
    <col min="5891" max="5891" width="3.90625" style="32" bestFit="1" customWidth="1"/>
    <col min="5892" max="5896" width="17.36328125" style="32" customWidth="1"/>
    <col min="5897" max="5899" width="15.6328125" style="32" customWidth="1"/>
    <col min="5900" max="5900" width="10.90625" style="32" customWidth="1"/>
    <col min="5901" max="5902" width="0" style="32" hidden="1" customWidth="1"/>
    <col min="5903" max="5903" width="9.36328125" style="32" customWidth="1"/>
    <col min="5904" max="5904" width="10" style="32" customWidth="1"/>
    <col min="5905" max="5905" width="9" style="32"/>
    <col min="5906" max="5906" width="6" style="32" customWidth="1"/>
    <col min="5907" max="6146" width="9" style="32"/>
    <col min="6147" max="6147" width="3.90625" style="32" bestFit="1" customWidth="1"/>
    <col min="6148" max="6152" width="17.36328125" style="32" customWidth="1"/>
    <col min="6153" max="6155" width="15.6328125" style="32" customWidth="1"/>
    <col min="6156" max="6156" width="10.90625" style="32" customWidth="1"/>
    <col min="6157" max="6158" width="0" style="32" hidden="1" customWidth="1"/>
    <col min="6159" max="6159" width="9.36328125" style="32" customWidth="1"/>
    <col min="6160" max="6160" width="10" style="32" customWidth="1"/>
    <col min="6161" max="6161" width="9" style="32"/>
    <col min="6162" max="6162" width="6" style="32" customWidth="1"/>
    <col min="6163" max="6402" width="9" style="32"/>
    <col min="6403" max="6403" width="3.90625" style="32" bestFit="1" customWidth="1"/>
    <col min="6404" max="6408" width="17.36328125" style="32" customWidth="1"/>
    <col min="6409" max="6411" width="15.6328125" style="32" customWidth="1"/>
    <col min="6412" max="6412" width="10.90625" style="32" customWidth="1"/>
    <col min="6413" max="6414" width="0" style="32" hidden="1" customWidth="1"/>
    <col min="6415" max="6415" width="9.36328125" style="32" customWidth="1"/>
    <col min="6416" max="6416" width="10" style="32" customWidth="1"/>
    <col min="6417" max="6417" width="9" style="32"/>
    <col min="6418" max="6418" width="6" style="32" customWidth="1"/>
    <col min="6419" max="6658" width="9" style="32"/>
    <col min="6659" max="6659" width="3.90625" style="32" bestFit="1" customWidth="1"/>
    <col min="6660" max="6664" width="17.36328125" style="32" customWidth="1"/>
    <col min="6665" max="6667" width="15.6328125" style="32" customWidth="1"/>
    <col min="6668" max="6668" width="10.90625" style="32" customWidth="1"/>
    <col min="6669" max="6670" width="0" style="32" hidden="1" customWidth="1"/>
    <col min="6671" max="6671" width="9.36328125" style="32" customWidth="1"/>
    <col min="6672" max="6672" width="10" style="32" customWidth="1"/>
    <col min="6673" max="6673" width="9" style="32"/>
    <col min="6674" max="6674" width="6" style="32" customWidth="1"/>
    <col min="6675" max="6914" width="9" style="32"/>
    <col min="6915" max="6915" width="3.90625" style="32" bestFit="1" customWidth="1"/>
    <col min="6916" max="6920" width="17.36328125" style="32" customWidth="1"/>
    <col min="6921" max="6923" width="15.6328125" style="32" customWidth="1"/>
    <col min="6924" max="6924" width="10.90625" style="32" customWidth="1"/>
    <col min="6925" max="6926" width="0" style="32" hidden="1" customWidth="1"/>
    <col min="6927" max="6927" width="9.36328125" style="32" customWidth="1"/>
    <col min="6928" max="6928" width="10" style="32" customWidth="1"/>
    <col min="6929" max="6929" width="9" style="32"/>
    <col min="6930" max="6930" width="6" style="32" customWidth="1"/>
    <col min="6931" max="7170" width="9" style="32"/>
    <col min="7171" max="7171" width="3.90625" style="32" bestFit="1" customWidth="1"/>
    <col min="7172" max="7176" width="17.36328125" style="32" customWidth="1"/>
    <col min="7177" max="7179" width="15.6328125" style="32" customWidth="1"/>
    <col min="7180" max="7180" width="10.90625" style="32" customWidth="1"/>
    <col min="7181" max="7182" width="0" style="32" hidden="1" customWidth="1"/>
    <col min="7183" max="7183" width="9.36328125" style="32" customWidth="1"/>
    <col min="7184" max="7184" width="10" style="32" customWidth="1"/>
    <col min="7185" max="7185" width="9" style="32"/>
    <col min="7186" max="7186" width="6" style="32" customWidth="1"/>
    <col min="7187" max="7426" width="9" style="32"/>
    <col min="7427" max="7427" width="3.90625" style="32" bestFit="1" customWidth="1"/>
    <col min="7428" max="7432" width="17.36328125" style="32" customWidth="1"/>
    <col min="7433" max="7435" width="15.6328125" style="32" customWidth="1"/>
    <col min="7436" max="7436" width="10.90625" style="32" customWidth="1"/>
    <col min="7437" max="7438" width="0" style="32" hidden="1" customWidth="1"/>
    <col min="7439" max="7439" width="9.36328125" style="32" customWidth="1"/>
    <col min="7440" max="7440" width="10" style="32" customWidth="1"/>
    <col min="7441" max="7441" width="9" style="32"/>
    <col min="7442" max="7442" width="6" style="32" customWidth="1"/>
    <col min="7443" max="7682" width="9" style="32"/>
    <col min="7683" max="7683" width="3.90625" style="32" bestFit="1" customWidth="1"/>
    <col min="7684" max="7688" width="17.36328125" style="32" customWidth="1"/>
    <col min="7689" max="7691" width="15.6328125" style="32" customWidth="1"/>
    <col min="7692" max="7692" width="10.90625" style="32" customWidth="1"/>
    <col min="7693" max="7694" width="0" style="32" hidden="1" customWidth="1"/>
    <col min="7695" max="7695" width="9.36328125" style="32" customWidth="1"/>
    <col min="7696" max="7696" width="10" style="32" customWidth="1"/>
    <col min="7697" max="7697" width="9" style="32"/>
    <col min="7698" max="7698" width="6" style="32" customWidth="1"/>
    <col min="7699" max="7938" width="9" style="32"/>
    <col min="7939" max="7939" width="3.90625" style="32" bestFit="1" customWidth="1"/>
    <col min="7940" max="7944" width="17.36328125" style="32" customWidth="1"/>
    <col min="7945" max="7947" width="15.6328125" style="32" customWidth="1"/>
    <col min="7948" max="7948" width="10.90625" style="32" customWidth="1"/>
    <col min="7949" max="7950" width="0" style="32" hidden="1" customWidth="1"/>
    <col min="7951" max="7951" width="9.36328125" style="32" customWidth="1"/>
    <col min="7952" max="7952" width="10" style="32" customWidth="1"/>
    <col min="7953" max="7953" width="9" style="32"/>
    <col min="7954" max="7954" width="6" style="32" customWidth="1"/>
    <col min="7955" max="8194" width="9" style="32"/>
    <col min="8195" max="8195" width="3.90625" style="32" bestFit="1" customWidth="1"/>
    <col min="8196" max="8200" width="17.36328125" style="32" customWidth="1"/>
    <col min="8201" max="8203" width="15.6328125" style="32" customWidth="1"/>
    <col min="8204" max="8204" width="10.90625" style="32" customWidth="1"/>
    <col min="8205" max="8206" width="0" style="32" hidden="1" customWidth="1"/>
    <col min="8207" max="8207" width="9.36328125" style="32" customWidth="1"/>
    <col min="8208" max="8208" width="10" style="32" customWidth="1"/>
    <col min="8209" max="8209" width="9" style="32"/>
    <col min="8210" max="8210" width="6" style="32" customWidth="1"/>
    <col min="8211" max="8450" width="9" style="32"/>
    <col min="8451" max="8451" width="3.90625" style="32" bestFit="1" customWidth="1"/>
    <col min="8452" max="8456" width="17.36328125" style="32" customWidth="1"/>
    <col min="8457" max="8459" width="15.6328125" style="32" customWidth="1"/>
    <col min="8460" max="8460" width="10.90625" style="32" customWidth="1"/>
    <col min="8461" max="8462" width="0" style="32" hidden="1" customWidth="1"/>
    <col min="8463" max="8463" width="9.36328125" style="32" customWidth="1"/>
    <col min="8464" max="8464" width="10" style="32" customWidth="1"/>
    <col min="8465" max="8465" width="9" style="32"/>
    <col min="8466" max="8466" width="6" style="32" customWidth="1"/>
    <col min="8467" max="8706" width="9" style="32"/>
    <col min="8707" max="8707" width="3.90625" style="32" bestFit="1" customWidth="1"/>
    <col min="8708" max="8712" width="17.36328125" style="32" customWidth="1"/>
    <col min="8713" max="8715" width="15.6328125" style="32" customWidth="1"/>
    <col min="8716" max="8716" width="10.90625" style="32" customWidth="1"/>
    <col min="8717" max="8718" width="0" style="32" hidden="1" customWidth="1"/>
    <col min="8719" max="8719" width="9.36328125" style="32" customWidth="1"/>
    <col min="8720" max="8720" width="10" style="32" customWidth="1"/>
    <col min="8721" max="8721" width="9" style="32"/>
    <col min="8722" max="8722" width="6" style="32" customWidth="1"/>
    <col min="8723" max="8962" width="9" style="32"/>
    <col min="8963" max="8963" width="3.90625" style="32" bestFit="1" customWidth="1"/>
    <col min="8964" max="8968" width="17.36328125" style="32" customWidth="1"/>
    <col min="8969" max="8971" width="15.6328125" style="32" customWidth="1"/>
    <col min="8972" max="8972" width="10.90625" style="32" customWidth="1"/>
    <col min="8973" max="8974" width="0" style="32" hidden="1" customWidth="1"/>
    <col min="8975" max="8975" width="9.36328125" style="32" customWidth="1"/>
    <col min="8976" max="8976" width="10" style="32" customWidth="1"/>
    <col min="8977" max="8977" width="9" style="32"/>
    <col min="8978" max="8978" width="6" style="32" customWidth="1"/>
    <col min="8979" max="9218" width="9" style="32"/>
    <col min="9219" max="9219" width="3.90625" style="32" bestFit="1" customWidth="1"/>
    <col min="9220" max="9224" width="17.36328125" style="32" customWidth="1"/>
    <col min="9225" max="9227" width="15.6328125" style="32" customWidth="1"/>
    <col min="9228" max="9228" width="10.90625" style="32" customWidth="1"/>
    <col min="9229" max="9230" width="0" style="32" hidden="1" customWidth="1"/>
    <col min="9231" max="9231" width="9.36328125" style="32" customWidth="1"/>
    <col min="9232" max="9232" width="10" style="32" customWidth="1"/>
    <col min="9233" max="9233" width="9" style="32"/>
    <col min="9234" max="9234" width="6" style="32" customWidth="1"/>
    <col min="9235" max="9474" width="9" style="32"/>
    <col min="9475" max="9475" width="3.90625" style="32" bestFit="1" customWidth="1"/>
    <col min="9476" max="9480" width="17.36328125" style="32" customWidth="1"/>
    <col min="9481" max="9483" width="15.6328125" style="32" customWidth="1"/>
    <col min="9484" max="9484" width="10.90625" style="32" customWidth="1"/>
    <col min="9485" max="9486" width="0" style="32" hidden="1" customWidth="1"/>
    <col min="9487" max="9487" width="9.36328125" style="32" customWidth="1"/>
    <col min="9488" max="9488" width="10" style="32" customWidth="1"/>
    <col min="9489" max="9489" width="9" style="32"/>
    <col min="9490" max="9490" width="6" style="32" customWidth="1"/>
    <col min="9491" max="9730" width="9" style="32"/>
    <col min="9731" max="9731" width="3.90625" style="32" bestFit="1" customWidth="1"/>
    <col min="9732" max="9736" width="17.36328125" style="32" customWidth="1"/>
    <col min="9737" max="9739" width="15.6328125" style="32" customWidth="1"/>
    <col min="9740" max="9740" width="10.90625" style="32" customWidth="1"/>
    <col min="9741" max="9742" width="0" style="32" hidden="1" customWidth="1"/>
    <col min="9743" max="9743" width="9.36328125" style="32" customWidth="1"/>
    <col min="9744" max="9744" width="10" style="32" customWidth="1"/>
    <col min="9745" max="9745" width="9" style="32"/>
    <col min="9746" max="9746" width="6" style="32" customWidth="1"/>
    <col min="9747" max="9986" width="9" style="32"/>
    <col min="9987" max="9987" width="3.90625" style="32" bestFit="1" customWidth="1"/>
    <col min="9988" max="9992" width="17.36328125" style="32" customWidth="1"/>
    <col min="9993" max="9995" width="15.6328125" style="32" customWidth="1"/>
    <col min="9996" max="9996" width="10.90625" style="32" customWidth="1"/>
    <col min="9997" max="9998" width="0" style="32" hidden="1" customWidth="1"/>
    <col min="9999" max="9999" width="9.36328125" style="32" customWidth="1"/>
    <col min="10000" max="10000" width="10" style="32" customWidth="1"/>
    <col min="10001" max="10001" width="9" style="32"/>
    <col min="10002" max="10002" width="6" style="32" customWidth="1"/>
    <col min="10003" max="10242" width="9" style="32"/>
    <col min="10243" max="10243" width="3.90625" style="32" bestFit="1" customWidth="1"/>
    <col min="10244" max="10248" width="17.36328125" style="32" customWidth="1"/>
    <col min="10249" max="10251" width="15.6328125" style="32" customWidth="1"/>
    <col min="10252" max="10252" width="10.90625" style="32" customWidth="1"/>
    <col min="10253" max="10254" width="0" style="32" hidden="1" customWidth="1"/>
    <col min="10255" max="10255" width="9.36328125" style="32" customWidth="1"/>
    <col min="10256" max="10256" width="10" style="32" customWidth="1"/>
    <col min="10257" max="10257" width="9" style="32"/>
    <col min="10258" max="10258" width="6" style="32" customWidth="1"/>
    <col min="10259" max="10498" width="9" style="32"/>
    <col min="10499" max="10499" width="3.90625" style="32" bestFit="1" customWidth="1"/>
    <col min="10500" max="10504" width="17.36328125" style="32" customWidth="1"/>
    <col min="10505" max="10507" width="15.6328125" style="32" customWidth="1"/>
    <col min="10508" max="10508" width="10.90625" style="32" customWidth="1"/>
    <col min="10509" max="10510" width="0" style="32" hidden="1" customWidth="1"/>
    <col min="10511" max="10511" width="9.36328125" style="32" customWidth="1"/>
    <col min="10512" max="10512" width="10" style="32" customWidth="1"/>
    <col min="10513" max="10513" width="9" style="32"/>
    <col min="10514" max="10514" width="6" style="32" customWidth="1"/>
    <col min="10515" max="10754" width="9" style="32"/>
    <col min="10755" max="10755" width="3.90625" style="32" bestFit="1" customWidth="1"/>
    <col min="10756" max="10760" width="17.36328125" style="32" customWidth="1"/>
    <col min="10761" max="10763" width="15.6328125" style="32" customWidth="1"/>
    <col min="10764" max="10764" width="10.90625" style="32" customWidth="1"/>
    <col min="10765" max="10766" width="0" style="32" hidden="1" customWidth="1"/>
    <col min="10767" max="10767" width="9.36328125" style="32" customWidth="1"/>
    <col min="10768" max="10768" width="10" style="32" customWidth="1"/>
    <col min="10769" max="10769" width="9" style="32"/>
    <col min="10770" max="10770" width="6" style="32" customWidth="1"/>
    <col min="10771" max="11010" width="9" style="32"/>
    <col min="11011" max="11011" width="3.90625" style="32" bestFit="1" customWidth="1"/>
    <col min="11012" max="11016" width="17.36328125" style="32" customWidth="1"/>
    <col min="11017" max="11019" width="15.6328125" style="32" customWidth="1"/>
    <col min="11020" max="11020" width="10.90625" style="32" customWidth="1"/>
    <col min="11021" max="11022" width="0" style="32" hidden="1" customWidth="1"/>
    <col min="11023" max="11023" width="9.36328125" style="32" customWidth="1"/>
    <col min="11024" max="11024" width="10" style="32" customWidth="1"/>
    <col min="11025" max="11025" width="9" style="32"/>
    <col min="11026" max="11026" width="6" style="32" customWidth="1"/>
    <col min="11027" max="11266" width="9" style="32"/>
    <col min="11267" max="11267" width="3.90625" style="32" bestFit="1" customWidth="1"/>
    <col min="11268" max="11272" width="17.36328125" style="32" customWidth="1"/>
    <col min="11273" max="11275" width="15.6328125" style="32" customWidth="1"/>
    <col min="11276" max="11276" width="10.90625" style="32" customWidth="1"/>
    <col min="11277" max="11278" width="0" style="32" hidden="1" customWidth="1"/>
    <col min="11279" max="11279" width="9.36328125" style="32" customWidth="1"/>
    <col min="11280" max="11280" width="10" style="32" customWidth="1"/>
    <col min="11281" max="11281" width="9" style="32"/>
    <col min="11282" max="11282" width="6" style="32" customWidth="1"/>
    <col min="11283" max="11522" width="9" style="32"/>
    <col min="11523" max="11523" width="3.90625" style="32" bestFit="1" customWidth="1"/>
    <col min="11524" max="11528" width="17.36328125" style="32" customWidth="1"/>
    <col min="11529" max="11531" width="15.6328125" style="32" customWidth="1"/>
    <col min="11532" max="11532" width="10.90625" style="32" customWidth="1"/>
    <col min="11533" max="11534" width="0" style="32" hidden="1" customWidth="1"/>
    <col min="11535" max="11535" width="9.36328125" style="32" customWidth="1"/>
    <col min="11536" max="11536" width="10" style="32" customWidth="1"/>
    <col min="11537" max="11537" width="9" style="32"/>
    <col min="11538" max="11538" width="6" style="32" customWidth="1"/>
    <col min="11539" max="11778" width="9" style="32"/>
    <col min="11779" max="11779" width="3.90625" style="32" bestFit="1" customWidth="1"/>
    <col min="11780" max="11784" width="17.36328125" style="32" customWidth="1"/>
    <col min="11785" max="11787" width="15.6328125" style="32" customWidth="1"/>
    <col min="11788" max="11788" width="10.90625" style="32" customWidth="1"/>
    <col min="11789" max="11790" width="0" style="32" hidden="1" customWidth="1"/>
    <col min="11791" max="11791" width="9.36328125" style="32" customWidth="1"/>
    <col min="11792" max="11792" width="10" style="32" customWidth="1"/>
    <col min="11793" max="11793" width="9" style="32"/>
    <col min="11794" max="11794" width="6" style="32" customWidth="1"/>
    <col min="11795" max="12034" width="9" style="32"/>
    <col min="12035" max="12035" width="3.90625" style="32" bestFit="1" customWidth="1"/>
    <col min="12036" max="12040" width="17.36328125" style="32" customWidth="1"/>
    <col min="12041" max="12043" width="15.6328125" style="32" customWidth="1"/>
    <col min="12044" max="12044" width="10.90625" style="32" customWidth="1"/>
    <col min="12045" max="12046" width="0" style="32" hidden="1" customWidth="1"/>
    <col min="12047" max="12047" width="9.36328125" style="32" customWidth="1"/>
    <col min="12048" max="12048" width="10" style="32" customWidth="1"/>
    <col min="12049" max="12049" width="9" style="32"/>
    <col min="12050" max="12050" width="6" style="32" customWidth="1"/>
    <col min="12051" max="12290" width="9" style="32"/>
    <col min="12291" max="12291" width="3.90625" style="32" bestFit="1" customWidth="1"/>
    <col min="12292" max="12296" width="17.36328125" style="32" customWidth="1"/>
    <col min="12297" max="12299" width="15.6328125" style="32" customWidth="1"/>
    <col min="12300" max="12300" width="10.90625" style="32" customWidth="1"/>
    <col min="12301" max="12302" width="0" style="32" hidden="1" customWidth="1"/>
    <col min="12303" max="12303" width="9.36328125" style="32" customWidth="1"/>
    <col min="12304" max="12304" width="10" style="32" customWidth="1"/>
    <col min="12305" max="12305" width="9" style="32"/>
    <col min="12306" max="12306" width="6" style="32" customWidth="1"/>
    <col min="12307" max="12546" width="9" style="32"/>
    <col min="12547" max="12547" width="3.90625" style="32" bestFit="1" customWidth="1"/>
    <col min="12548" max="12552" width="17.36328125" style="32" customWidth="1"/>
    <col min="12553" max="12555" width="15.6328125" style="32" customWidth="1"/>
    <col min="12556" max="12556" width="10.90625" style="32" customWidth="1"/>
    <col min="12557" max="12558" width="0" style="32" hidden="1" customWidth="1"/>
    <col min="12559" max="12559" width="9.36328125" style="32" customWidth="1"/>
    <col min="12560" max="12560" width="10" style="32" customWidth="1"/>
    <col min="12561" max="12561" width="9" style="32"/>
    <col min="12562" max="12562" width="6" style="32" customWidth="1"/>
    <col min="12563" max="12802" width="9" style="32"/>
    <col min="12803" max="12803" width="3.90625" style="32" bestFit="1" customWidth="1"/>
    <col min="12804" max="12808" width="17.36328125" style="32" customWidth="1"/>
    <col min="12809" max="12811" width="15.6328125" style="32" customWidth="1"/>
    <col min="12812" max="12812" width="10.90625" style="32" customWidth="1"/>
    <col min="12813" max="12814" width="0" style="32" hidden="1" customWidth="1"/>
    <col min="12815" max="12815" width="9.36328125" style="32" customWidth="1"/>
    <col min="12816" max="12816" width="10" style="32" customWidth="1"/>
    <col min="12817" max="12817" width="9" style="32"/>
    <col min="12818" max="12818" width="6" style="32" customWidth="1"/>
    <col min="12819" max="13058" width="9" style="32"/>
    <col min="13059" max="13059" width="3.90625" style="32" bestFit="1" customWidth="1"/>
    <col min="13060" max="13064" width="17.36328125" style="32" customWidth="1"/>
    <col min="13065" max="13067" width="15.6328125" style="32" customWidth="1"/>
    <col min="13068" max="13068" width="10.90625" style="32" customWidth="1"/>
    <col min="13069" max="13070" width="0" style="32" hidden="1" customWidth="1"/>
    <col min="13071" max="13071" width="9.36328125" style="32" customWidth="1"/>
    <col min="13072" max="13072" width="10" style="32" customWidth="1"/>
    <col min="13073" max="13073" width="9" style="32"/>
    <col min="13074" max="13074" width="6" style="32" customWidth="1"/>
    <col min="13075" max="13314" width="9" style="32"/>
    <col min="13315" max="13315" width="3.90625" style="32" bestFit="1" customWidth="1"/>
    <col min="13316" max="13320" width="17.36328125" style="32" customWidth="1"/>
    <col min="13321" max="13323" width="15.6328125" style="32" customWidth="1"/>
    <col min="13324" max="13324" width="10.90625" style="32" customWidth="1"/>
    <col min="13325" max="13326" width="0" style="32" hidden="1" customWidth="1"/>
    <col min="13327" max="13327" width="9.36328125" style="32" customWidth="1"/>
    <col min="13328" max="13328" width="10" style="32" customWidth="1"/>
    <col min="13329" max="13329" width="9" style="32"/>
    <col min="13330" max="13330" width="6" style="32" customWidth="1"/>
    <col min="13331" max="13570" width="9" style="32"/>
    <col min="13571" max="13571" width="3.90625" style="32" bestFit="1" customWidth="1"/>
    <col min="13572" max="13576" width="17.36328125" style="32" customWidth="1"/>
    <col min="13577" max="13579" width="15.6328125" style="32" customWidth="1"/>
    <col min="13580" max="13580" width="10.90625" style="32" customWidth="1"/>
    <col min="13581" max="13582" width="0" style="32" hidden="1" customWidth="1"/>
    <col min="13583" max="13583" width="9.36328125" style="32" customWidth="1"/>
    <col min="13584" max="13584" width="10" style="32" customWidth="1"/>
    <col min="13585" max="13585" width="9" style="32"/>
    <col min="13586" max="13586" width="6" style="32" customWidth="1"/>
    <col min="13587" max="13826" width="9" style="32"/>
    <col min="13827" max="13827" width="3.90625" style="32" bestFit="1" customWidth="1"/>
    <col min="13828" max="13832" width="17.36328125" style="32" customWidth="1"/>
    <col min="13833" max="13835" width="15.6328125" style="32" customWidth="1"/>
    <col min="13836" max="13836" width="10.90625" style="32" customWidth="1"/>
    <col min="13837" max="13838" width="0" style="32" hidden="1" customWidth="1"/>
    <col min="13839" max="13839" width="9.36328125" style="32" customWidth="1"/>
    <col min="13840" max="13840" width="10" style="32" customWidth="1"/>
    <col min="13841" max="13841" width="9" style="32"/>
    <col min="13842" max="13842" width="6" style="32" customWidth="1"/>
    <col min="13843" max="14082" width="9" style="32"/>
    <col min="14083" max="14083" width="3.90625" style="32" bestFit="1" customWidth="1"/>
    <col min="14084" max="14088" width="17.36328125" style="32" customWidth="1"/>
    <col min="14089" max="14091" width="15.6328125" style="32" customWidth="1"/>
    <col min="14092" max="14092" width="10.90625" style="32" customWidth="1"/>
    <col min="14093" max="14094" width="0" style="32" hidden="1" customWidth="1"/>
    <col min="14095" max="14095" width="9.36328125" style="32" customWidth="1"/>
    <col min="14096" max="14096" width="10" style="32" customWidth="1"/>
    <col min="14097" max="14097" width="9" style="32"/>
    <col min="14098" max="14098" width="6" style="32" customWidth="1"/>
    <col min="14099" max="14338" width="9" style="32"/>
    <col min="14339" max="14339" width="3.90625" style="32" bestFit="1" customWidth="1"/>
    <col min="14340" max="14344" width="17.36328125" style="32" customWidth="1"/>
    <col min="14345" max="14347" width="15.6328125" style="32" customWidth="1"/>
    <col min="14348" max="14348" width="10.90625" style="32" customWidth="1"/>
    <col min="14349" max="14350" width="0" style="32" hidden="1" customWidth="1"/>
    <col min="14351" max="14351" width="9.36328125" style="32" customWidth="1"/>
    <col min="14352" max="14352" width="10" style="32" customWidth="1"/>
    <col min="14353" max="14353" width="9" style="32"/>
    <col min="14354" max="14354" width="6" style="32" customWidth="1"/>
    <col min="14355" max="14594" width="9" style="32"/>
    <col min="14595" max="14595" width="3.90625" style="32" bestFit="1" customWidth="1"/>
    <col min="14596" max="14600" width="17.36328125" style="32" customWidth="1"/>
    <col min="14601" max="14603" width="15.6328125" style="32" customWidth="1"/>
    <col min="14604" max="14604" width="10.90625" style="32" customWidth="1"/>
    <col min="14605" max="14606" width="0" style="32" hidden="1" customWidth="1"/>
    <col min="14607" max="14607" width="9.36328125" style="32" customWidth="1"/>
    <col min="14608" max="14608" width="10" style="32" customWidth="1"/>
    <col min="14609" max="14609" width="9" style="32"/>
    <col min="14610" max="14610" width="6" style="32" customWidth="1"/>
    <col min="14611" max="14850" width="9" style="32"/>
    <col min="14851" max="14851" width="3.90625" style="32" bestFit="1" customWidth="1"/>
    <col min="14852" max="14856" width="17.36328125" style="32" customWidth="1"/>
    <col min="14857" max="14859" width="15.6328125" style="32" customWidth="1"/>
    <col min="14860" max="14860" width="10.90625" style="32" customWidth="1"/>
    <col min="14861" max="14862" width="0" style="32" hidden="1" customWidth="1"/>
    <col min="14863" max="14863" width="9.36328125" style="32" customWidth="1"/>
    <col min="14864" max="14864" width="10" style="32" customWidth="1"/>
    <col min="14865" max="14865" width="9" style="32"/>
    <col min="14866" max="14866" width="6" style="32" customWidth="1"/>
    <col min="14867" max="15106" width="9" style="32"/>
    <col min="15107" max="15107" width="3.90625" style="32" bestFit="1" customWidth="1"/>
    <col min="15108" max="15112" width="17.36328125" style="32" customWidth="1"/>
    <col min="15113" max="15115" width="15.6328125" style="32" customWidth="1"/>
    <col min="15116" max="15116" width="10.90625" style="32" customWidth="1"/>
    <col min="15117" max="15118" width="0" style="32" hidden="1" customWidth="1"/>
    <col min="15119" max="15119" width="9.36328125" style="32" customWidth="1"/>
    <col min="15120" max="15120" width="10" style="32" customWidth="1"/>
    <col min="15121" max="15121" width="9" style="32"/>
    <col min="15122" max="15122" width="6" style="32" customWidth="1"/>
    <col min="15123" max="15362" width="9" style="32"/>
    <col min="15363" max="15363" width="3.90625" style="32" bestFit="1" customWidth="1"/>
    <col min="15364" max="15368" width="17.36328125" style="32" customWidth="1"/>
    <col min="15369" max="15371" width="15.6328125" style="32" customWidth="1"/>
    <col min="15372" max="15372" width="10.90625" style="32" customWidth="1"/>
    <col min="15373" max="15374" width="0" style="32" hidden="1" customWidth="1"/>
    <col min="15375" max="15375" width="9.36328125" style="32" customWidth="1"/>
    <col min="15376" max="15376" width="10" style="32" customWidth="1"/>
    <col min="15377" max="15377" width="9" style="32"/>
    <col min="15378" max="15378" width="6" style="32" customWidth="1"/>
    <col min="15379" max="15618" width="9" style="32"/>
    <col min="15619" max="15619" width="3.90625" style="32" bestFit="1" customWidth="1"/>
    <col min="15620" max="15624" width="17.36328125" style="32" customWidth="1"/>
    <col min="15625" max="15627" width="15.6328125" style="32" customWidth="1"/>
    <col min="15628" max="15628" width="10.90625" style="32" customWidth="1"/>
    <col min="15629" max="15630" width="0" style="32" hidden="1" customWidth="1"/>
    <col min="15631" max="15631" width="9.36328125" style="32" customWidth="1"/>
    <col min="15632" max="15632" width="10" style="32" customWidth="1"/>
    <col min="15633" max="15633" width="9" style="32"/>
    <col min="15634" max="15634" width="6" style="32" customWidth="1"/>
    <col min="15635" max="15874" width="9" style="32"/>
    <col min="15875" max="15875" width="3.90625" style="32" bestFit="1" customWidth="1"/>
    <col min="15876" max="15880" width="17.36328125" style="32" customWidth="1"/>
    <col min="15881" max="15883" width="15.6328125" style="32" customWidth="1"/>
    <col min="15884" max="15884" width="10.90625" style="32" customWidth="1"/>
    <col min="15885" max="15886" width="0" style="32" hidden="1" customWidth="1"/>
    <col min="15887" max="15887" width="9.36328125" style="32" customWidth="1"/>
    <col min="15888" max="15888" width="10" style="32" customWidth="1"/>
    <col min="15889" max="15889" width="9" style="32"/>
    <col min="15890" max="15890" width="6" style="32" customWidth="1"/>
    <col min="15891" max="16130" width="9" style="32"/>
    <col min="16131" max="16131" width="3.90625" style="32" bestFit="1" customWidth="1"/>
    <col min="16132" max="16136" width="17.36328125" style="32" customWidth="1"/>
    <col min="16137" max="16139" width="15.6328125" style="32" customWidth="1"/>
    <col min="16140" max="16140" width="10.90625" style="32" customWidth="1"/>
    <col min="16141" max="16142" width="0" style="32" hidden="1" customWidth="1"/>
    <col min="16143" max="16143" width="9.36328125" style="32" customWidth="1"/>
    <col min="16144" max="16144" width="10" style="32" customWidth="1"/>
    <col min="16145" max="16145" width="9" style="32"/>
    <col min="16146" max="16146" width="6" style="32" customWidth="1"/>
    <col min="16147" max="16384" width="9" style="32"/>
  </cols>
  <sheetData>
    <row r="1" spans="1:18" ht="28.5" x14ac:dyDescent="0.2">
      <c r="B1" s="181" t="s">
        <v>127</v>
      </c>
      <c r="C1" s="181"/>
      <c r="D1" s="181"/>
      <c r="E1" s="181"/>
    </row>
    <row r="2" spans="1:18" ht="7.5" customHeight="1" x14ac:dyDescent="0.2"/>
    <row r="3" spans="1:18" ht="22.5" customHeight="1" x14ac:dyDescent="0.2">
      <c r="A3" s="33" t="s">
        <v>39</v>
      </c>
      <c r="B3" s="34" t="s">
        <v>70</v>
      </c>
      <c r="C3" s="35"/>
      <c r="D3" s="35"/>
      <c r="E3" s="35"/>
      <c r="F3" s="35"/>
      <c r="G3" s="35"/>
      <c r="H3" s="35"/>
      <c r="I3" s="35"/>
      <c r="J3" s="35"/>
      <c r="K3" s="35"/>
      <c r="L3" s="35"/>
    </row>
    <row r="4" spans="1:18" ht="26.25" customHeight="1" x14ac:dyDescent="0.2">
      <c r="A4" s="36"/>
      <c r="B4" s="37"/>
      <c r="C4" s="38" t="s">
        <v>13</v>
      </c>
      <c r="D4" s="38" t="s">
        <v>14</v>
      </c>
      <c r="E4" s="38" t="s">
        <v>108</v>
      </c>
      <c r="F4" s="38" t="s">
        <v>109</v>
      </c>
      <c r="G4" s="38" t="s">
        <v>110</v>
      </c>
      <c r="H4" s="144" t="s">
        <v>116</v>
      </c>
      <c r="I4" s="137" t="s">
        <v>111</v>
      </c>
      <c r="J4" s="168"/>
      <c r="K4" s="168"/>
      <c r="M4" s="39" t="s">
        <v>15</v>
      </c>
      <c r="N4" s="39" t="s">
        <v>16</v>
      </c>
      <c r="R4" s="39" t="s">
        <v>121</v>
      </c>
    </row>
    <row r="5" spans="1:18" ht="26.25" customHeight="1" x14ac:dyDescent="0.2">
      <c r="A5" s="36"/>
      <c r="B5" s="37">
        <v>1</v>
      </c>
      <c r="C5" s="135"/>
      <c r="D5" s="136"/>
      <c r="E5" s="147"/>
      <c r="F5" s="147"/>
      <c r="G5" s="157"/>
      <c r="H5" s="145">
        <f>IF(AND(E5&lt;&gt;"",F5&lt;&gt;""),MAX(MIN(E5,100000)+MIN(F5,100000)-100000,0),0)</f>
        <v>0</v>
      </c>
      <c r="I5" s="142">
        <f>IFERROR(IF(E5+F5+G5-H5&gt;0,E5+F5+G5-H5,0),"")</f>
        <v>0</v>
      </c>
      <c r="J5" s="169"/>
      <c r="K5" s="169"/>
      <c r="L5" s="40" t="str">
        <f>IF(COUNTA(C5:G5)=0,"",((IF(AND(C5&lt;&gt;"",D5&lt;&gt;""),"OK","すべて入力してください"))))</f>
        <v/>
      </c>
      <c r="M5" s="41" t="str">
        <f t="shared" ref="M5:M12" si="0">IF(C5="","",IF((I5-430000)&lt;0,0,IF(I5&lt;=24000000,I5-430000,IF(AND(I5&gt;24000000,I5&lt;=24500000),I5-290000,IF(AND(I5&gt;24500000,I5&lt;=25000000),I5-150000,I5)))))</f>
        <v/>
      </c>
      <c r="N5" s="39" t="str">
        <f t="shared" ref="N5:N12" si="1">IF(D5="","",IF(AND(D5&gt;=40,D5&lt;65),"該当","非該当"))</f>
        <v/>
      </c>
      <c r="R5" s="160">
        <f>IF(AND(D5&gt;=65,F5&gt;0),MIN(F5,150000),0)</f>
        <v>0</v>
      </c>
    </row>
    <row r="6" spans="1:18" ht="26.25" customHeight="1" x14ac:dyDescent="0.2">
      <c r="A6" s="36"/>
      <c r="B6" s="37">
        <v>2</v>
      </c>
      <c r="C6" s="135"/>
      <c r="D6" s="136"/>
      <c r="E6" s="147"/>
      <c r="F6" s="147"/>
      <c r="G6" s="157"/>
      <c r="H6" s="145">
        <f>IF(AND(E6&lt;&gt;"",F6&lt;&gt;""),MAX(MIN(E6,100000)+MIN(F6,100000)-100000,0),0)</f>
        <v>0</v>
      </c>
      <c r="I6" s="142">
        <f t="shared" ref="I6:I12" si="2">IFERROR(IF(E6+F6+G6-H6&gt;0,E6+F6+G6-H6,0),"")</f>
        <v>0</v>
      </c>
      <c r="J6" s="169"/>
      <c r="K6" s="169"/>
      <c r="L6" s="40" t="str">
        <f t="shared" ref="L6:L12" si="3">IF(COUNTA(C6:G6)=0,"",((IF(AND(C6&lt;&gt;"",D6&lt;&gt;""),"OK","すべて入力してください"))))</f>
        <v/>
      </c>
      <c r="M6" s="138" t="str">
        <f t="shared" si="0"/>
        <v/>
      </c>
      <c r="N6" s="39" t="str">
        <f t="shared" si="1"/>
        <v/>
      </c>
      <c r="R6" s="160">
        <f>IF(AND(D6&gt;=65,F6&gt;0),MIN(F6,150000),0)</f>
        <v>0</v>
      </c>
    </row>
    <row r="7" spans="1:18" ht="26.25" customHeight="1" x14ac:dyDescent="0.2">
      <c r="A7" s="36"/>
      <c r="B7" s="37">
        <v>3</v>
      </c>
      <c r="C7" s="135"/>
      <c r="D7" s="136"/>
      <c r="E7" s="147"/>
      <c r="F7" s="147"/>
      <c r="G7" s="157"/>
      <c r="H7" s="145">
        <f t="shared" ref="H7:H12" si="4">IF(AND(E7&lt;&gt;"",F7&lt;&gt;""),MAX(MIN(E7,100000)+MIN(F7,100000)-100000,0),0)</f>
        <v>0</v>
      </c>
      <c r="I7" s="142">
        <f t="shared" si="2"/>
        <v>0</v>
      </c>
      <c r="J7" s="169"/>
      <c r="K7" s="169"/>
      <c r="L7" s="40" t="str">
        <f t="shared" si="3"/>
        <v/>
      </c>
      <c r="M7" s="138" t="str">
        <f t="shared" si="0"/>
        <v/>
      </c>
      <c r="N7" s="39" t="str">
        <f t="shared" si="1"/>
        <v/>
      </c>
      <c r="R7" s="160">
        <f t="shared" ref="R7:R12" si="5">IF(AND(D7&gt;65,F7&gt;0),MIN(F7,150000),0)</f>
        <v>0</v>
      </c>
    </row>
    <row r="8" spans="1:18" ht="26.25" customHeight="1" x14ac:dyDescent="0.2">
      <c r="A8" s="36"/>
      <c r="B8" s="37">
        <v>4</v>
      </c>
      <c r="C8" s="135"/>
      <c r="D8" s="136"/>
      <c r="E8" s="147"/>
      <c r="F8" s="147"/>
      <c r="G8" s="157"/>
      <c r="H8" s="145">
        <f t="shared" si="4"/>
        <v>0</v>
      </c>
      <c r="I8" s="142">
        <f t="shared" si="2"/>
        <v>0</v>
      </c>
      <c r="J8" s="169"/>
      <c r="K8" s="169"/>
      <c r="L8" s="40" t="str">
        <f t="shared" si="3"/>
        <v/>
      </c>
      <c r="M8" s="138" t="str">
        <f t="shared" si="0"/>
        <v/>
      </c>
      <c r="N8" s="39" t="str">
        <f t="shared" si="1"/>
        <v/>
      </c>
      <c r="R8" s="160">
        <f t="shared" si="5"/>
        <v>0</v>
      </c>
    </row>
    <row r="9" spans="1:18" ht="26.25" customHeight="1" x14ac:dyDescent="0.2">
      <c r="A9" s="36"/>
      <c r="B9" s="37">
        <v>5</v>
      </c>
      <c r="C9" s="135"/>
      <c r="D9" s="136"/>
      <c r="E9" s="147"/>
      <c r="F9" s="147"/>
      <c r="G9" s="157"/>
      <c r="H9" s="145">
        <f t="shared" si="4"/>
        <v>0</v>
      </c>
      <c r="I9" s="142">
        <f t="shared" si="2"/>
        <v>0</v>
      </c>
      <c r="J9" s="169"/>
      <c r="K9" s="169"/>
      <c r="L9" s="40" t="str">
        <f t="shared" si="3"/>
        <v/>
      </c>
      <c r="M9" s="138" t="str">
        <f t="shared" si="0"/>
        <v/>
      </c>
      <c r="N9" s="39" t="str">
        <f t="shared" si="1"/>
        <v/>
      </c>
      <c r="R9" s="160">
        <f t="shared" si="5"/>
        <v>0</v>
      </c>
    </row>
    <row r="10" spans="1:18" ht="26.25" customHeight="1" x14ac:dyDescent="0.2">
      <c r="A10" s="36"/>
      <c r="B10" s="37">
        <v>6</v>
      </c>
      <c r="C10" s="135"/>
      <c r="D10" s="136"/>
      <c r="E10" s="147"/>
      <c r="F10" s="147"/>
      <c r="G10" s="157"/>
      <c r="H10" s="145">
        <f t="shared" si="4"/>
        <v>0</v>
      </c>
      <c r="I10" s="142">
        <f t="shared" si="2"/>
        <v>0</v>
      </c>
      <c r="J10" s="169"/>
      <c r="K10" s="169"/>
      <c r="L10" s="40" t="str">
        <f t="shared" si="3"/>
        <v/>
      </c>
      <c r="M10" s="138" t="str">
        <f t="shared" si="0"/>
        <v/>
      </c>
      <c r="N10" s="39" t="str">
        <f t="shared" si="1"/>
        <v/>
      </c>
      <c r="R10" s="160">
        <f t="shared" si="5"/>
        <v>0</v>
      </c>
    </row>
    <row r="11" spans="1:18" ht="26.25" customHeight="1" x14ac:dyDescent="0.2">
      <c r="A11" s="36"/>
      <c r="B11" s="37">
        <v>7</v>
      </c>
      <c r="C11" s="135"/>
      <c r="D11" s="136"/>
      <c r="E11" s="147"/>
      <c r="F11" s="155"/>
      <c r="G11" s="157"/>
      <c r="H11" s="145">
        <f t="shared" si="4"/>
        <v>0</v>
      </c>
      <c r="I11" s="142">
        <f t="shared" si="2"/>
        <v>0</v>
      </c>
      <c r="J11" s="169"/>
      <c r="K11" s="169"/>
      <c r="L11" s="40" t="str">
        <f t="shared" si="3"/>
        <v/>
      </c>
      <c r="M11" s="138" t="str">
        <f t="shared" si="0"/>
        <v/>
      </c>
      <c r="N11" s="39" t="str">
        <f t="shared" si="1"/>
        <v/>
      </c>
      <c r="R11" s="160">
        <f t="shared" si="5"/>
        <v>0</v>
      </c>
    </row>
    <row r="12" spans="1:18" ht="26.25" customHeight="1" x14ac:dyDescent="0.2">
      <c r="A12" s="36"/>
      <c r="B12" s="37">
        <v>8</v>
      </c>
      <c r="C12" s="135"/>
      <c r="D12" s="136"/>
      <c r="E12" s="147"/>
      <c r="F12" s="147"/>
      <c r="G12" s="157"/>
      <c r="H12" s="145">
        <f t="shared" si="4"/>
        <v>0</v>
      </c>
      <c r="I12" s="142">
        <f t="shared" si="2"/>
        <v>0</v>
      </c>
      <c r="J12" s="169"/>
      <c r="K12" s="169"/>
      <c r="L12" s="40" t="str">
        <f t="shared" si="3"/>
        <v/>
      </c>
      <c r="M12" s="138" t="str">
        <f t="shared" si="0"/>
        <v/>
      </c>
      <c r="N12" s="39" t="str">
        <f t="shared" si="1"/>
        <v/>
      </c>
      <c r="R12" s="160">
        <f t="shared" si="5"/>
        <v>0</v>
      </c>
    </row>
    <row r="13" spans="1:18" ht="7.5" customHeight="1" x14ac:dyDescent="0.2">
      <c r="A13" s="36"/>
      <c r="B13" s="35"/>
      <c r="C13" s="35"/>
      <c r="D13" s="35"/>
      <c r="E13" s="35"/>
      <c r="F13" s="35"/>
      <c r="G13" s="35"/>
      <c r="H13" s="35"/>
      <c r="I13" s="35"/>
      <c r="J13" s="35"/>
      <c r="K13" s="35"/>
      <c r="L13" s="35"/>
    </row>
    <row r="14" spans="1:18" ht="22.5" customHeight="1" x14ac:dyDescent="0.2">
      <c r="A14" s="33" t="s">
        <v>40</v>
      </c>
      <c r="B14" s="34" t="s">
        <v>17</v>
      </c>
      <c r="C14" s="35"/>
      <c r="D14" s="35"/>
      <c r="E14" s="35"/>
      <c r="F14" s="35"/>
      <c r="G14" s="35"/>
      <c r="H14" s="35"/>
      <c r="I14" s="35"/>
      <c r="J14" s="35"/>
      <c r="K14" s="35"/>
      <c r="L14" s="35"/>
      <c r="M14" s="42"/>
      <c r="N14" s="42"/>
    </row>
    <row r="15" spans="1:18" ht="22.5" customHeight="1" x14ac:dyDescent="0.2">
      <c r="A15" s="36"/>
      <c r="B15" s="156"/>
      <c r="C15" s="40" t="str">
        <f>IF(AND(F5="OK",B15=""),"入力してください",(IF(B15=1,"「はい」　算定結果を確認してください",IF(B15=2,"「いいえ」　Q３を入力してください",""))))</f>
        <v/>
      </c>
      <c r="D15" s="35"/>
      <c r="E15" s="35"/>
      <c r="F15" s="35"/>
      <c r="G15" s="35"/>
      <c r="H15" s="35"/>
      <c r="I15" s="35"/>
      <c r="J15" s="35"/>
      <c r="K15" s="35"/>
      <c r="L15" s="35"/>
      <c r="M15" s="42"/>
      <c r="N15" s="42"/>
    </row>
    <row r="16" spans="1:18" ht="19" x14ac:dyDescent="0.2">
      <c r="A16" s="36"/>
      <c r="B16" s="35"/>
      <c r="C16" s="35"/>
      <c r="D16" s="35"/>
      <c r="E16" s="35"/>
      <c r="F16" s="35"/>
      <c r="G16" s="35"/>
      <c r="H16" s="35"/>
      <c r="I16" s="35"/>
      <c r="J16" s="35"/>
      <c r="K16" s="35"/>
      <c r="L16" s="35"/>
      <c r="M16" s="42"/>
      <c r="N16" s="42"/>
    </row>
    <row r="17" spans="1:19" ht="22.5" customHeight="1" x14ac:dyDescent="0.2">
      <c r="A17" s="33" t="s">
        <v>18</v>
      </c>
      <c r="B17" s="34" t="s">
        <v>41</v>
      </c>
      <c r="C17" s="35"/>
      <c r="D17" s="35"/>
      <c r="E17" s="35"/>
      <c r="F17" s="35"/>
    </row>
    <row r="18" spans="1:19" ht="22.5" customHeight="1" x14ac:dyDescent="0.2">
      <c r="A18" s="35"/>
      <c r="B18" s="37" t="s">
        <v>42</v>
      </c>
      <c r="C18" s="153"/>
      <c r="D18" s="146"/>
      <c r="E18" s="40" t="str">
        <f>IF(B15="","",IF(B15=1,"入力しないでください",IF(D18&lt;&gt;"","算定結果を確認してください","入力してください")))</f>
        <v/>
      </c>
      <c r="F18" s="35"/>
      <c r="G18" s="148" t="str">
        <f>IF(AND(OR(C18="給与",C18="年金(65歳以上)",C18="年金(65歳未満)"),D18&gt;0),1,"0")</f>
        <v>0</v>
      </c>
      <c r="O18" s="39">
        <f>IF(AND(C18="年金(65歳以上)",D18&gt;0),MIN(D18,150000),0)</f>
        <v>0</v>
      </c>
    </row>
    <row r="19" spans="1:19" ht="13.5" customHeight="1" x14ac:dyDescent="0.2">
      <c r="A19" s="35"/>
      <c r="B19" s="43"/>
      <c r="C19" s="43"/>
      <c r="D19" s="35"/>
      <c r="E19" s="35"/>
      <c r="O19" s="161">
        <f>SUM(R5:R12)+O18</f>
        <v>0</v>
      </c>
    </row>
    <row r="20" spans="1:19" ht="13.5" customHeight="1" thickBot="1" x14ac:dyDescent="0.25">
      <c r="A20" s="35"/>
      <c r="B20" s="43"/>
      <c r="C20" s="43"/>
      <c r="D20" s="35"/>
      <c r="E20" s="35"/>
      <c r="F20" s="35"/>
    </row>
    <row r="21" spans="1:19" ht="28.5" x14ac:dyDescent="0.2">
      <c r="A21" s="44"/>
      <c r="B21" s="45" t="s">
        <v>19</v>
      </c>
      <c r="C21" s="46"/>
      <c r="D21" s="139"/>
      <c r="E21" s="46"/>
      <c r="F21" s="46"/>
      <c r="G21" s="47"/>
      <c r="H21" s="47"/>
      <c r="I21" s="47"/>
      <c r="J21" s="47"/>
      <c r="K21" s="47"/>
      <c r="L21" s="48"/>
    </row>
    <row r="22" spans="1:19" ht="26.25" customHeight="1" x14ac:dyDescent="0.2">
      <c r="A22" s="49"/>
      <c r="B22" s="50" t="s">
        <v>43</v>
      </c>
      <c r="C22" s="51">
        <f>IF(COUNTA(I5:I12)=0,"",SUM(I5:I12)+D18-O19)</f>
        <v>0</v>
      </c>
      <c r="D22" s="52"/>
      <c r="E22" s="52"/>
      <c r="F22" s="143" t="s">
        <v>113</v>
      </c>
      <c r="G22" s="141"/>
      <c r="H22" s="53"/>
      <c r="I22" s="53"/>
      <c r="J22" s="53"/>
      <c r="K22" s="53"/>
      <c r="L22" s="54"/>
    </row>
    <row r="23" spans="1:19" ht="26.25" customHeight="1" x14ac:dyDescent="0.2">
      <c r="A23" s="49"/>
      <c r="B23" s="50" t="s">
        <v>25</v>
      </c>
      <c r="C23" s="55" t="str">
        <f>IF(C5="","",IF(C22&lt;=C26+(G23-1)*100000,B26,IF(C22&lt;=(C26+C27*C33+(G23-1)*100000),B27,IF(C22&lt;=(C26+C28*C33+(G23-1)*100000),B28,"軽減なし"))))</f>
        <v/>
      </c>
      <c r="D23" s="52"/>
      <c r="E23" s="52"/>
      <c r="F23" s="140" t="s">
        <v>112</v>
      </c>
      <c r="G23" s="151">
        <f>COUNTIF(E5:E12,"&gt;0")+COUNTIFS(F5:F12,"&gt;0",E5:E12,"")+COUNTIFS(F5:F12,"&gt;0",E5:E12,"=0")+G18</f>
        <v>0</v>
      </c>
      <c r="H23" s="53"/>
      <c r="I23" s="163"/>
      <c r="J23" s="163"/>
      <c r="K23" s="163"/>
      <c r="L23" s="54"/>
    </row>
    <row r="24" spans="1:19" ht="26.25" customHeight="1" x14ac:dyDescent="0.2">
      <c r="A24" s="49"/>
      <c r="B24" s="52"/>
      <c r="C24" s="56"/>
      <c r="D24" s="52"/>
      <c r="E24" s="52"/>
      <c r="F24" s="52"/>
      <c r="G24" s="57"/>
      <c r="H24" s="52"/>
      <c r="I24" s="52"/>
      <c r="J24" s="141"/>
      <c r="K24" s="141"/>
      <c r="L24" s="58"/>
      <c r="N24" s="59"/>
      <c r="O24" s="59"/>
      <c r="P24" s="59"/>
      <c r="Q24" s="59"/>
      <c r="R24" s="59"/>
    </row>
    <row r="25" spans="1:19" ht="26.25" customHeight="1" x14ac:dyDescent="0.2">
      <c r="A25" s="49"/>
      <c r="B25" s="60" t="s">
        <v>44</v>
      </c>
      <c r="C25" s="190" t="s">
        <v>45</v>
      </c>
      <c r="D25" s="190"/>
      <c r="E25" s="190"/>
      <c r="F25" s="190"/>
      <c r="G25" s="190"/>
      <c r="H25" s="190"/>
      <c r="I25" s="190"/>
      <c r="J25" s="170"/>
      <c r="K25" s="170"/>
      <c r="L25" s="54"/>
      <c r="N25" s="59"/>
    </row>
    <row r="26" spans="1:19" ht="26.25" customHeight="1" x14ac:dyDescent="0.2">
      <c r="A26" s="49"/>
      <c r="B26" s="60" t="s">
        <v>46</v>
      </c>
      <c r="C26" s="188">
        <v>430000</v>
      </c>
      <c r="D26" s="188"/>
      <c r="E26" s="188"/>
      <c r="F26" s="188"/>
      <c r="G26" s="188"/>
      <c r="H26" s="188"/>
      <c r="I26" s="188"/>
      <c r="J26" s="171"/>
      <c r="K26" s="171"/>
      <c r="L26" s="54"/>
    </row>
    <row r="27" spans="1:19" ht="26.25" customHeight="1" x14ac:dyDescent="0.2">
      <c r="A27" s="61"/>
      <c r="B27" s="60" t="s">
        <v>47</v>
      </c>
      <c r="C27" s="189">
        <v>310000</v>
      </c>
      <c r="D27" s="189"/>
      <c r="E27" s="189"/>
      <c r="F27" s="189"/>
      <c r="G27" s="189"/>
      <c r="H27" s="189"/>
      <c r="I27" s="189"/>
      <c r="J27" s="172"/>
      <c r="K27" s="172"/>
      <c r="L27" s="54"/>
    </row>
    <row r="28" spans="1:19" ht="26.25" customHeight="1" x14ac:dyDescent="0.2">
      <c r="A28" s="49"/>
      <c r="B28" s="60" t="s">
        <v>48</v>
      </c>
      <c r="C28" s="189">
        <v>570000</v>
      </c>
      <c r="D28" s="189"/>
      <c r="E28" s="189"/>
      <c r="F28" s="189"/>
      <c r="G28" s="189"/>
      <c r="H28" s="189"/>
      <c r="I28" s="189"/>
      <c r="J28" s="172"/>
      <c r="K28" s="172"/>
      <c r="L28" s="54"/>
    </row>
    <row r="29" spans="1:19" ht="20.25" customHeight="1" x14ac:dyDescent="0.6">
      <c r="A29" s="49"/>
      <c r="B29" s="62" t="s">
        <v>117</v>
      </c>
      <c r="C29" s="52"/>
      <c r="D29" s="52"/>
      <c r="E29" s="52"/>
      <c r="F29" s="53"/>
      <c r="G29" s="53"/>
      <c r="H29" s="53"/>
      <c r="I29" s="53"/>
      <c r="J29" s="53"/>
      <c r="K29" s="53"/>
      <c r="L29" s="54"/>
      <c r="N29" s="59"/>
    </row>
    <row r="30" spans="1:19" ht="20.25" customHeight="1" x14ac:dyDescent="0.2">
      <c r="A30" s="49"/>
      <c r="B30" s="57" t="s">
        <v>123</v>
      </c>
      <c r="C30" s="52"/>
      <c r="D30" s="52"/>
      <c r="E30" s="52"/>
      <c r="F30" s="53"/>
      <c r="G30" s="53"/>
      <c r="H30" s="53"/>
      <c r="I30" s="53"/>
      <c r="J30" s="53"/>
      <c r="K30" s="53"/>
      <c r="L30" s="54"/>
      <c r="N30" s="59"/>
      <c r="O30" s="59"/>
      <c r="P30" s="59"/>
      <c r="Q30" s="59"/>
      <c r="R30" s="59"/>
    </row>
    <row r="31" spans="1:19" ht="26.25" customHeight="1" x14ac:dyDescent="0.2">
      <c r="A31" s="49"/>
      <c r="B31" s="53" t="s">
        <v>131</v>
      </c>
      <c r="C31" s="52"/>
      <c r="D31" s="52"/>
      <c r="E31" s="52"/>
      <c r="F31" s="52"/>
      <c r="G31" s="53"/>
      <c r="H31" s="53"/>
      <c r="I31" s="53"/>
      <c r="J31" s="53"/>
      <c r="K31" s="53"/>
      <c r="L31" s="54"/>
      <c r="O31" s="59"/>
      <c r="P31" s="59"/>
      <c r="Q31" s="59"/>
      <c r="R31" s="59"/>
    </row>
    <row r="32" spans="1:19" ht="26.25" customHeight="1" x14ac:dyDescent="0.2">
      <c r="A32" s="49"/>
      <c r="B32" s="60"/>
      <c r="C32" s="60" t="s">
        <v>20</v>
      </c>
      <c r="D32" s="158" t="s">
        <v>125</v>
      </c>
      <c r="E32" s="167" t="s">
        <v>134</v>
      </c>
      <c r="F32" s="60" t="s">
        <v>21</v>
      </c>
      <c r="G32" s="53"/>
      <c r="H32" s="53"/>
      <c r="I32" s="53"/>
      <c r="J32" s="53"/>
      <c r="K32" s="53"/>
      <c r="L32" s="54"/>
      <c r="N32" s="59"/>
      <c r="O32" s="59"/>
      <c r="P32" s="59"/>
      <c r="Q32" s="59"/>
      <c r="R32" s="59"/>
      <c r="S32" s="59"/>
    </row>
    <row r="33" spans="1:19" ht="26.25" customHeight="1" x14ac:dyDescent="0.2">
      <c r="A33" s="49"/>
      <c r="B33" s="50" t="s">
        <v>22</v>
      </c>
      <c r="C33" s="50">
        <f>COUNTA(D5:D12)</f>
        <v>0</v>
      </c>
      <c r="D33" s="140">
        <f>COUNTIF(D5:D12,"&lt;6")</f>
        <v>0</v>
      </c>
      <c r="E33" s="140">
        <v>0</v>
      </c>
      <c r="F33" s="51">
        <f>SUM(M5:M12)</f>
        <v>0</v>
      </c>
      <c r="G33" s="53"/>
      <c r="H33" s="53"/>
      <c r="I33" s="53"/>
      <c r="J33" s="53"/>
      <c r="K33" s="53"/>
      <c r="L33" s="54"/>
      <c r="N33" s="59"/>
      <c r="O33" s="59"/>
      <c r="P33" s="59"/>
      <c r="Q33" s="59"/>
      <c r="R33" s="59"/>
      <c r="S33" s="59"/>
    </row>
    <row r="34" spans="1:19" ht="26.25" customHeight="1" x14ac:dyDescent="0.2">
      <c r="A34" s="49"/>
      <c r="B34" s="50" t="s">
        <v>23</v>
      </c>
      <c r="C34" s="50">
        <f>C33</f>
        <v>0</v>
      </c>
      <c r="D34" s="140">
        <f>D33</f>
        <v>0</v>
      </c>
      <c r="E34" s="140">
        <f>E33</f>
        <v>0</v>
      </c>
      <c r="F34" s="63">
        <f>F33</f>
        <v>0</v>
      </c>
      <c r="G34" s="53"/>
      <c r="H34" s="53"/>
      <c r="I34" s="53"/>
      <c r="J34" s="53"/>
      <c r="K34" s="53"/>
      <c r="L34" s="54"/>
      <c r="N34" s="59"/>
      <c r="O34" s="59"/>
      <c r="P34" s="59"/>
      <c r="Q34" s="59"/>
      <c r="R34" s="59"/>
      <c r="S34" s="59"/>
    </row>
    <row r="35" spans="1:19" ht="26.25" customHeight="1" x14ac:dyDescent="0.2">
      <c r="A35" s="49"/>
      <c r="B35" s="64" t="s">
        <v>24</v>
      </c>
      <c r="C35" s="50">
        <f>COUNTIF(D5:D12,"&gt;=40")-COUNTIF(D5:D12,"&gt;64")</f>
        <v>0</v>
      </c>
      <c r="D35" s="140">
        <v>0</v>
      </c>
      <c r="E35" s="140">
        <v>0</v>
      </c>
      <c r="F35" s="63">
        <f>SUMIF(N5:N12,"該当",M5:M12)</f>
        <v>0</v>
      </c>
      <c r="G35" s="53"/>
      <c r="H35" s="52"/>
      <c r="I35" s="52"/>
      <c r="J35" s="141"/>
      <c r="K35" s="141"/>
      <c r="L35" s="58"/>
      <c r="N35" s="159"/>
      <c r="O35" s="59"/>
      <c r="P35" s="59"/>
      <c r="Q35" s="59"/>
      <c r="R35" s="59"/>
      <c r="S35" s="59"/>
    </row>
    <row r="36" spans="1:19" ht="26.25" customHeight="1" x14ac:dyDescent="0.2">
      <c r="A36" s="49"/>
      <c r="B36" s="64" t="s">
        <v>129</v>
      </c>
      <c r="C36" s="140">
        <f>C33</f>
        <v>0</v>
      </c>
      <c r="D36" s="140">
        <f>D33</f>
        <v>0</v>
      </c>
      <c r="E36" s="140">
        <f>COUNTIF(D5:D12,"&gt;=18")</f>
        <v>0</v>
      </c>
      <c r="F36" s="63">
        <f>F33</f>
        <v>0</v>
      </c>
      <c r="G36" s="53"/>
      <c r="H36" s="141"/>
      <c r="I36" s="141"/>
      <c r="J36" s="141"/>
      <c r="K36" s="141"/>
      <c r="L36" s="58"/>
      <c r="N36" s="159"/>
      <c r="O36" s="59"/>
      <c r="P36" s="59"/>
      <c r="Q36" s="59"/>
      <c r="R36" s="59"/>
      <c r="S36" s="59"/>
    </row>
    <row r="37" spans="1:19" ht="26.25" customHeight="1" x14ac:dyDescent="0.2">
      <c r="A37" s="49"/>
      <c r="B37" s="52"/>
      <c r="C37" s="52"/>
      <c r="D37" s="52"/>
      <c r="E37" s="52"/>
      <c r="F37" s="52"/>
      <c r="G37" s="173"/>
      <c r="H37" s="52" t="s">
        <v>26</v>
      </c>
      <c r="I37" s="52"/>
      <c r="J37" s="52"/>
      <c r="K37" s="141"/>
      <c r="L37" s="58"/>
      <c r="Q37" s="59"/>
      <c r="R37" s="59"/>
    </row>
    <row r="38" spans="1:19" ht="26.25" customHeight="1" x14ac:dyDescent="0.2">
      <c r="A38" s="49"/>
      <c r="B38" s="60" t="s">
        <v>27</v>
      </c>
      <c r="C38" s="60" t="s">
        <v>22</v>
      </c>
      <c r="D38" s="60" t="s">
        <v>23</v>
      </c>
      <c r="E38" s="60" t="s">
        <v>24</v>
      </c>
      <c r="F38" s="165" t="s">
        <v>129</v>
      </c>
      <c r="G38" s="173"/>
      <c r="H38" s="60" t="s">
        <v>22</v>
      </c>
      <c r="I38" s="60" t="s">
        <v>23</v>
      </c>
      <c r="J38" s="60" t="s">
        <v>24</v>
      </c>
      <c r="K38" s="165" t="s">
        <v>129</v>
      </c>
      <c r="L38" s="58"/>
      <c r="Q38" s="59"/>
      <c r="R38" s="59"/>
    </row>
    <row r="39" spans="1:19" ht="26.25" customHeight="1" x14ac:dyDescent="0.2">
      <c r="A39" s="49"/>
      <c r="B39" s="50" t="s">
        <v>28</v>
      </c>
      <c r="C39" s="63">
        <f>F33*H39/100</f>
        <v>0</v>
      </c>
      <c r="D39" s="63">
        <f>F34*I39/100</f>
        <v>0</v>
      </c>
      <c r="E39" s="63">
        <f>F35*J39/100</f>
        <v>0</v>
      </c>
      <c r="F39" s="176">
        <f>F36*K39/100</f>
        <v>0</v>
      </c>
      <c r="G39" s="173"/>
      <c r="H39" s="65">
        <v>7</v>
      </c>
      <c r="I39" s="65">
        <v>2.5</v>
      </c>
      <c r="J39" s="65">
        <v>2.1</v>
      </c>
      <c r="K39" s="174">
        <v>0.27</v>
      </c>
      <c r="L39" s="58"/>
      <c r="Q39" s="59"/>
      <c r="R39" s="59"/>
    </row>
    <row r="40" spans="1:19" ht="26.25" customHeight="1" x14ac:dyDescent="0.2">
      <c r="A40" s="49"/>
      <c r="B40" s="50" t="s">
        <v>29</v>
      </c>
      <c r="C40" s="63">
        <f>C33*H40</f>
        <v>0</v>
      </c>
      <c r="D40" s="63">
        <f>C34*I40</f>
        <v>0</v>
      </c>
      <c r="E40" s="63">
        <f>C35*J40</f>
        <v>0</v>
      </c>
      <c r="F40" s="176">
        <f>C36*K40</f>
        <v>0</v>
      </c>
      <c r="G40" s="173"/>
      <c r="H40" s="66">
        <v>26400</v>
      </c>
      <c r="I40" s="66">
        <v>9200</v>
      </c>
      <c r="J40" s="66">
        <v>9900</v>
      </c>
      <c r="K40" s="175">
        <v>1200</v>
      </c>
      <c r="L40" s="58"/>
      <c r="Q40" s="59"/>
      <c r="R40" s="59"/>
    </row>
    <row r="41" spans="1:19" ht="26.25" customHeight="1" x14ac:dyDescent="0.2">
      <c r="A41" s="49"/>
      <c r="B41" s="50" t="s">
        <v>30</v>
      </c>
      <c r="C41" s="63">
        <f>IF(C33=0,0,H41)</f>
        <v>0</v>
      </c>
      <c r="D41" s="63">
        <f>IF(C34=0,0,I41)</f>
        <v>0</v>
      </c>
      <c r="E41" s="63">
        <f>IF(C35=0,0,J41)</f>
        <v>0</v>
      </c>
      <c r="F41" s="176">
        <f>IF(C36=0,0,K41)</f>
        <v>0</v>
      </c>
      <c r="G41" s="173"/>
      <c r="H41" s="66">
        <v>20100</v>
      </c>
      <c r="I41" s="66">
        <v>7100</v>
      </c>
      <c r="J41" s="66">
        <v>5800</v>
      </c>
      <c r="K41" s="175">
        <v>800</v>
      </c>
      <c r="L41" s="58"/>
      <c r="Q41" s="59"/>
      <c r="R41" s="59"/>
    </row>
    <row r="42" spans="1:19" ht="26.25" customHeight="1" x14ac:dyDescent="0.2">
      <c r="A42" s="49"/>
      <c r="B42" s="140" t="s">
        <v>133</v>
      </c>
      <c r="C42" s="177" t="s">
        <v>132</v>
      </c>
      <c r="D42" s="177" t="s">
        <v>132</v>
      </c>
      <c r="E42" s="177" t="s">
        <v>132</v>
      </c>
      <c r="F42" s="176">
        <f>E36*K42</f>
        <v>0</v>
      </c>
      <c r="G42" s="173"/>
      <c r="H42" s="100"/>
      <c r="I42" s="100"/>
      <c r="J42" s="100"/>
      <c r="K42" s="175">
        <v>100</v>
      </c>
      <c r="L42" s="58"/>
      <c r="Q42" s="59"/>
      <c r="R42" s="59"/>
    </row>
    <row r="43" spans="1:19" ht="26.25" customHeight="1" x14ac:dyDescent="0.2">
      <c r="A43" s="49"/>
      <c r="B43" s="50" t="s">
        <v>31</v>
      </c>
      <c r="C43" s="63">
        <f>IF(C33=0,0,IF($C$23="軽減なし",0,IF($C$23=B26,H40*0.7*C33,IF($C$23=B27,H40*0.5*C33,IF($C$23=B28,H40*0.2*C33,"")))))</f>
        <v>0</v>
      </c>
      <c r="D43" s="63">
        <f>IF(C34=0,0,IF($C$23="軽減なし",0,IF($C$23=B26,I40*0.7*C34,IF($C$23=B27,I40*0.5*C34,IF($C$23=B28,I40*0.2*C34,"")))))</f>
        <v>0</v>
      </c>
      <c r="E43" s="63">
        <f>IF(C35=0,0,IF($C$23="軽減なし",0,IF($C$23=B26,J40*0.7*C35,IF($C$23=B27,J40*0.5*C35,IF($C$23=B28,J40*0.2*C35,"")))))</f>
        <v>0</v>
      </c>
      <c r="F43" s="176">
        <f>IF(C36=0,0,IF($C$23="軽減なし",0,IF($C$23=B26,K40*0.7*C36,IF($C$23=B27,K40*0.5*C36,IF($C$23=B28,K40*0.2*C36,"")))))</f>
        <v>0</v>
      </c>
      <c r="G43" s="173"/>
      <c r="H43" s="100"/>
      <c r="I43" s="100"/>
      <c r="J43" s="100"/>
      <c r="K43" s="173"/>
      <c r="L43" s="58"/>
      <c r="Q43" s="59"/>
      <c r="R43" s="59"/>
    </row>
    <row r="44" spans="1:19" ht="26.25" customHeight="1" x14ac:dyDescent="0.2">
      <c r="A44" s="49"/>
      <c r="B44" s="162" t="s">
        <v>124</v>
      </c>
      <c r="C44" s="63">
        <f>IF(C33=0,0,IF($C$23="軽減なし",H40*0.5*D33,IF($C$23=B26,H40*0.15*D33,IF($C$23=B27,H40*0.25*D33,IF($C$23=B28,H40*0.4*D33,"")))))</f>
        <v>0</v>
      </c>
      <c r="D44" s="63">
        <f>IF(C33=0,0,IF($C$23="軽減なし",I40*0.5*D33,IF($C$23=B26,I40*0.15*D33,IF($C$23=B27,I40*0.25*D33,IF($C$23=B28,I40*0.4*D33,"")))))</f>
        <v>0</v>
      </c>
      <c r="E44" s="63">
        <v>0</v>
      </c>
      <c r="F44" s="176">
        <f>IF(C36=0,0,IF($C$23="軽減なし",K40*0.5*D36,IF($C$23=B26,K40*0.15*D36,IF($C$23=B27,K40*0.25*D36,IF($C$23=B28,K40*0.4*D36,"")))))</f>
        <v>0</v>
      </c>
      <c r="G44" s="173"/>
      <c r="H44" s="100"/>
      <c r="I44" s="100"/>
      <c r="J44" s="100"/>
      <c r="K44" s="100"/>
      <c r="L44" s="58"/>
      <c r="Q44" s="59"/>
      <c r="R44" s="59"/>
    </row>
    <row r="45" spans="1:19" ht="26.25" customHeight="1" x14ac:dyDescent="0.2">
      <c r="A45" s="67"/>
      <c r="B45" s="50" t="s">
        <v>33</v>
      </c>
      <c r="C45" s="63">
        <f>IF(C33=0,0,IF($C$23="軽減なし",0,IF($C$23=B26,H41*0.7,IF($C$23=B27,H41*0.5,IF($C$23=B28,H41*0.2,"")))))</f>
        <v>0</v>
      </c>
      <c r="D45" s="63">
        <f>IF(C33=0,0,IF($C$23="軽減なし",0,IF($C$23=B26,I41*0.7,IF($C$23=B27,I41*0.5,IF($C$23=B28,I41*0.2,"")))))</f>
        <v>0</v>
      </c>
      <c r="E45" s="63">
        <f>IF(C35=0,0,IF($C$23="軽減なし",0,IF($C$23=B26,J41*0.7,IF($C$23=B27,J41*0.5,IF($C$23=B28,J41*0.2,"")))))</f>
        <v>0</v>
      </c>
      <c r="F45" s="176">
        <f>IF(C36=0,0,IF($C$23="軽減なし",0,IF($C$23=B26,K41*0.7,IF($C$23=B27,K41*0.5,IF($C$23=B28,K41*0.2,"")))))</f>
        <v>0</v>
      </c>
      <c r="G45" s="173"/>
      <c r="H45" s="52" t="s">
        <v>130</v>
      </c>
      <c r="I45" s="52"/>
      <c r="J45" s="52"/>
      <c r="K45" s="141"/>
      <c r="L45" s="58"/>
      <c r="Q45" s="59"/>
      <c r="R45" s="59"/>
    </row>
    <row r="46" spans="1:19" ht="26.25" customHeight="1" x14ac:dyDescent="0.2">
      <c r="A46" s="67"/>
      <c r="B46" s="50" t="s">
        <v>34</v>
      </c>
      <c r="C46" s="63">
        <f>IF(SUM(C39:C41)&lt;H47,0,SUM(C39:C41)-H47)</f>
        <v>0</v>
      </c>
      <c r="D46" s="63">
        <f>IF(SUM(D39:D41)&lt;I47,0,SUM(D39:D41)-I47)</f>
        <v>0</v>
      </c>
      <c r="E46" s="63">
        <f>IF(SUM(E39:E41)&lt;J47,0,SUM(E39:E41)-J47)</f>
        <v>0</v>
      </c>
      <c r="F46" s="176">
        <f>IF(SUM(F39:F42)&lt;K47,0,SUM(F39:F42)-K47)</f>
        <v>0</v>
      </c>
      <c r="G46" s="173"/>
      <c r="H46" s="60" t="s">
        <v>22</v>
      </c>
      <c r="I46" s="60" t="s">
        <v>23</v>
      </c>
      <c r="J46" s="60" t="s">
        <v>24</v>
      </c>
      <c r="K46" s="165" t="s">
        <v>129</v>
      </c>
      <c r="L46" s="58"/>
      <c r="Q46" s="59"/>
      <c r="R46" s="59"/>
    </row>
    <row r="47" spans="1:19" ht="26.25" customHeight="1" thickBot="1" x14ac:dyDescent="0.25">
      <c r="A47" s="68"/>
      <c r="B47" s="105" t="s">
        <v>35</v>
      </c>
      <c r="C47" s="106">
        <f>ROUNDDOWN(SUM(C39:C41)-SUM(C43:C46),-2)</f>
        <v>0</v>
      </c>
      <c r="D47" s="106">
        <f>ROUNDDOWN(SUM(D39:D41)-SUM(D43:D46),-2)</f>
        <v>0</v>
      </c>
      <c r="E47" s="106">
        <f>ROUNDDOWN(SUM(E39:E41)-SUM(E43:E46),-2)</f>
        <v>0</v>
      </c>
      <c r="F47" s="178">
        <f>ROUNDDOWN(SUM(F39:F42)-SUM(F43:F46),-2)</f>
        <v>0</v>
      </c>
      <c r="G47" s="173"/>
      <c r="H47" s="107">
        <v>670000</v>
      </c>
      <c r="I47" s="107">
        <v>260000</v>
      </c>
      <c r="J47" s="107">
        <v>170000</v>
      </c>
      <c r="K47" s="179">
        <v>30000</v>
      </c>
      <c r="L47" s="108"/>
      <c r="Q47" s="59"/>
      <c r="R47" s="59"/>
    </row>
    <row r="48" spans="1:19" ht="37.5" customHeight="1" thickBot="1" x14ac:dyDescent="0.25">
      <c r="A48" s="109"/>
      <c r="B48" s="110"/>
      <c r="C48" s="110"/>
      <c r="D48" s="110"/>
      <c r="E48" s="110"/>
      <c r="F48" s="110"/>
      <c r="G48" s="110"/>
      <c r="H48" s="110"/>
      <c r="I48" s="110"/>
      <c r="J48" s="110"/>
      <c r="K48" s="110"/>
      <c r="L48" s="110"/>
      <c r="M48" s="59"/>
      <c r="N48" s="59"/>
      <c r="O48" s="59"/>
      <c r="P48" s="59"/>
      <c r="Q48" s="59"/>
      <c r="R48" s="59"/>
    </row>
    <row r="49" spans="1:18" ht="60.75" customHeight="1" thickBot="1" x14ac:dyDescent="0.25">
      <c r="A49" s="101"/>
      <c r="B49" s="186" t="s">
        <v>36</v>
      </c>
      <c r="C49" s="187"/>
      <c r="D49" s="187"/>
      <c r="E49" s="187"/>
      <c r="F49" s="184" t="str">
        <f>TEXT(SUM(C47:F47),"#,##0")</f>
        <v>0</v>
      </c>
      <c r="G49" s="184"/>
      <c r="H49" s="112" t="s">
        <v>37</v>
      </c>
      <c r="I49" s="101"/>
      <c r="J49" s="101"/>
      <c r="K49" s="101"/>
      <c r="L49" s="101"/>
      <c r="M49" s="59"/>
      <c r="N49" s="59"/>
      <c r="O49" s="59"/>
      <c r="P49" s="59"/>
      <c r="Q49" s="59"/>
      <c r="R49" s="59"/>
    </row>
    <row r="50" spans="1:18" ht="37.5" customHeight="1" thickBot="1" x14ac:dyDescent="0.25">
      <c r="A50" s="101"/>
      <c r="B50" s="113"/>
      <c r="C50" s="113"/>
      <c r="D50" s="113"/>
      <c r="E50" s="113"/>
      <c r="F50" s="114"/>
      <c r="G50" s="114"/>
      <c r="H50" s="115"/>
      <c r="I50" s="101"/>
      <c r="J50" s="101"/>
      <c r="K50" s="101"/>
      <c r="L50" s="101"/>
      <c r="M50" s="59"/>
      <c r="N50" s="59"/>
      <c r="O50" s="59"/>
      <c r="P50" s="59"/>
      <c r="Q50" s="59"/>
      <c r="R50" s="59"/>
    </row>
    <row r="51" spans="1:18" ht="60" customHeight="1" thickBot="1" x14ac:dyDescent="0.25">
      <c r="A51" s="101"/>
      <c r="B51" s="182" t="s">
        <v>49</v>
      </c>
      <c r="C51" s="183"/>
      <c r="D51" s="183"/>
      <c r="E51" s="183"/>
      <c r="F51" s="185" t="str">
        <f>TEXT(ROUND(SUM(C47:F47)/12,0),"#,##0")</f>
        <v>0</v>
      </c>
      <c r="G51" s="185"/>
      <c r="H51" s="111" t="s">
        <v>37</v>
      </c>
      <c r="I51" s="101"/>
      <c r="J51" s="101"/>
      <c r="K51" s="101"/>
      <c r="L51" s="101"/>
      <c r="M51" s="59"/>
    </row>
    <row r="52" spans="1:18" ht="37.5" customHeight="1" thickBot="1" x14ac:dyDescent="0.25">
      <c r="A52" s="101"/>
      <c r="B52" s="102" t="s">
        <v>50</v>
      </c>
      <c r="C52" s="103"/>
      <c r="D52" s="103"/>
      <c r="E52" s="104"/>
      <c r="F52" s="104"/>
      <c r="G52" s="101"/>
      <c r="H52" s="101"/>
      <c r="I52" s="101"/>
      <c r="J52" s="101"/>
      <c r="K52" s="101"/>
      <c r="L52" s="101"/>
      <c r="M52" s="59"/>
    </row>
    <row r="53" spans="1:18" ht="60" customHeight="1" thickBot="1" x14ac:dyDescent="0.25">
      <c r="A53" s="101"/>
      <c r="B53" s="182" t="s">
        <v>38</v>
      </c>
      <c r="C53" s="183"/>
      <c r="D53" s="183"/>
      <c r="E53" s="183"/>
      <c r="F53" s="185" t="str">
        <f>TEXT(ROUND(SUM(C47:F47)/8,0),"#,##0")</f>
        <v>0</v>
      </c>
      <c r="G53" s="185"/>
      <c r="H53" s="111" t="s">
        <v>37</v>
      </c>
      <c r="I53" s="101"/>
      <c r="J53" s="101"/>
      <c r="K53" s="101"/>
      <c r="L53" s="101"/>
      <c r="M53" s="59"/>
    </row>
    <row r="54" spans="1:18" ht="22.5" customHeight="1" x14ac:dyDescent="0.2">
      <c r="A54" s="101"/>
      <c r="B54" s="101"/>
      <c r="C54" s="101"/>
      <c r="D54" s="101"/>
      <c r="E54" s="101"/>
      <c r="F54" s="101"/>
      <c r="G54" s="101"/>
      <c r="H54" s="101"/>
      <c r="I54" s="101"/>
      <c r="J54" s="101"/>
      <c r="K54" s="101"/>
      <c r="L54" s="101"/>
      <c r="M54" s="59"/>
    </row>
    <row r="55" spans="1:18" ht="22.5" customHeight="1" x14ac:dyDescent="0.2">
      <c r="B55" s="164" t="s">
        <v>126</v>
      </c>
    </row>
  </sheetData>
  <sheetProtection selectLockedCells="1"/>
  <mergeCells count="11">
    <mergeCell ref="B1:E1"/>
    <mergeCell ref="B51:E51"/>
    <mergeCell ref="F49:G49"/>
    <mergeCell ref="F51:G51"/>
    <mergeCell ref="F53:G53"/>
    <mergeCell ref="B53:E53"/>
    <mergeCell ref="B49:E49"/>
    <mergeCell ref="C26:I26"/>
    <mergeCell ref="C27:I27"/>
    <mergeCell ref="C28:I28"/>
    <mergeCell ref="C25:I25"/>
  </mergeCells>
  <phoneticPr fontId="1"/>
  <dataValidations count="3">
    <dataValidation type="list" allowBlank="1" showInputMessage="1" showErrorMessage="1" sqref="B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B65555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B131091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B196627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B262163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B327699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B393235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B458771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B524307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B589843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B655379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B720915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B786451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B851987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B917523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B983059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xr:uid="{00000000-0002-0000-0000-000000000000}">
      <formula1>"1,2"</formula1>
    </dataValidation>
    <dataValidation type="whole" errorStyle="warning" operator="greaterThanOrEqual" allowBlank="1" showInputMessage="1" showErrorMessage="1" errorTitle="入力内容を確認してください" error="数値を入力してください" sqref="D65545:F65552 JA5:JC12 SW5:SY12 ACS5:ACU12 AMO5:AMQ12 AWK5:AWM12 BGG5:BGI12 BQC5:BQE12 BZY5:CAA12 CJU5:CJW12 CTQ5:CTS12 DDM5:DDO12 DNI5:DNK12 DXE5:DXG12 EHA5:EHC12 EQW5:EQY12 FAS5:FAU12 FKO5:FKQ12 FUK5:FUM12 GEG5:GEI12 GOC5:GOE12 GXY5:GYA12 HHU5:HHW12 HRQ5:HRS12 IBM5:IBO12 ILI5:ILK12 IVE5:IVG12 JFA5:JFC12 JOW5:JOY12 JYS5:JYU12 KIO5:KIQ12 KSK5:KSM12 LCG5:LCI12 LMC5:LME12 LVY5:LWA12 MFU5:MFW12 MPQ5:MPS12 MZM5:MZO12 NJI5:NJK12 NTE5:NTG12 ODA5:ODC12 OMW5:OMY12 OWS5:OWU12 PGO5:PGQ12 PQK5:PQM12 QAG5:QAI12 QKC5:QKE12 QTY5:QUA12 RDU5:RDW12 RNQ5:RNS12 RXM5:RXO12 SHI5:SHK12 SRE5:SRG12 TBA5:TBC12 TKW5:TKY12 TUS5:TUU12 UEO5:UEQ12 UOK5:UOM12 UYG5:UYI12 VIC5:VIE12 VRY5:VSA12 WBU5:WBW12 WLQ5:WLS12 WVM5:WVO12 JB65546:JD65553 SX65546:SZ65553 ACT65546:ACV65553 AMP65546:AMR65553 AWL65546:AWN65553 BGH65546:BGJ65553 BQD65546:BQF65553 BZZ65546:CAB65553 CJV65546:CJX65553 CTR65546:CTT65553 DDN65546:DDP65553 DNJ65546:DNL65553 DXF65546:DXH65553 EHB65546:EHD65553 EQX65546:EQZ65553 FAT65546:FAV65553 FKP65546:FKR65553 FUL65546:FUN65553 GEH65546:GEJ65553 GOD65546:GOF65553 GXZ65546:GYB65553 HHV65546:HHX65553 HRR65546:HRT65553 IBN65546:IBP65553 ILJ65546:ILL65553 IVF65546:IVH65553 JFB65546:JFD65553 JOX65546:JOZ65553 JYT65546:JYV65553 KIP65546:KIR65553 KSL65546:KSN65553 LCH65546:LCJ65553 LMD65546:LMF65553 LVZ65546:LWB65553 MFV65546:MFX65553 MPR65546:MPT65553 MZN65546:MZP65553 NJJ65546:NJL65553 NTF65546:NTH65553 ODB65546:ODD65553 OMX65546:OMZ65553 OWT65546:OWV65553 PGP65546:PGR65553 PQL65546:PQN65553 QAH65546:QAJ65553 QKD65546:QKF65553 QTZ65546:QUB65553 RDV65546:RDX65553 RNR65546:RNT65553 RXN65546:RXP65553 SHJ65546:SHL65553 SRF65546:SRH65553 TBB65546:TBD65553 TKX65546:TKZ65553 TUT65546:TUV65553 UEP65546:UER65553 UOL65546:UON65553 UYH65546:UYJ65553 VID65546:VIF65553 VRZ65546:VSB65553 WBV65546:WBX65553 WLR65546:WLT65553 WVN65546:WVP65553 JB131082:JD131089 SX131082:SZ131089 ACT131082:ACV131089 AMP131082:AMR131089 AWL131082:AWN131089 BGH131082:BGJ131089 BQD131082:BQF131089 BZZ131082:CAB131089 CJV131082:CJX131089 CTR131082:CTT131089 DDN131082:DDP131089 DNJ131082:DNL131089 DXF131082:DXH131089 EHB131082:EHD131089 EQX131082:EQZ131089 FAT131082:FAV131089 FKP131082:FKR131089 FUL131082:FUN131089 GEH131082:GEJ131089 GOD131082:GOF131089 GXZ131082:GYB131089 HHV131082:HHX131089 HRR131082:HRT131089 IBN131082:IBP131089 ILJ131082:ILL131089 IVF131082:IVH131089 JFB131082:JFD131089 JOX131082:JOZ131089 JYT131082:JYV131089 KIP131082:KIR131089 KSL131082:KSN131089 LCH131082:LCJ131089 LMD131082:LMF131089 LVZ131082:LWB131089 MFV131082:MFX131089 MPR131082:MPT131089 MZN131082:MZP131089 NJJ131082:NJL131089 NTF131082:NTH131089 ODB131082:ODD131089 OMX131082:OMZ131089 OWT131082:OWV131089 PGP131082:PGR131089 PQL131082:PQN131089 QAH131082:QAJ131089 QKD131082:QKF131089 QTZ131082:QUB131089 RDV131082:RDX131089 RNR131082:RNT131089 RXN131082:RXP131089 SHJ131082:SHL131089 SRF131082:SRH131089 TBB131082:TBD131089 TKX131082:TKZ131089 TUT131082:TUV131089 UEP131082:UER131089 UOL131082:UON131089 UYH131082:UYJ131089 VID131082:VIF131089 VRZ131082:VSB131089 WBV131082:WBX131089 WLR131082:WLT131089 WVN131082:WVP131089 JB196618:JD196625 SX196618:SZ196625 ACT196618:ACV196625 AMP196618:AMR196625 AWL196618:AWN196625 BGH196618:BGJ196625 BQD196618:BQF196625 BZZ196618:CAB196625 CJV196618:CJX196625 CTR196618:CTT196625 DDN196618:DDP196625 DNJ196618:DNL196625 DXF196618:DXH196625 EHB196618:EHD196625 EQX196618:EQZ196625 FAT196618:FAV196625 FKP196618:FKR196625 FUL196618:FUN196625 GEH196618:GEJ196625 GOD196618:GOF196625 GXZ196618:GYB196625 HHV196618:HHX196625 HRR196618:HRT196625 IBN196618:IBP196625 ILJ196618:ILL196625 IVF196618:IVH196625 JFB196618:JFD196625 JOX196618:JOZ196625 JYT196618:JYV196625 KIP196618:KIR196625 KSL196618:KSN196625 LCH196618:LCJ196625 LMD196618:LMF196625 LVZ196618:LWB196625 MFV196618:MFX196625 MPR196618:MPT196625 MZN196618:MZP196625 NJJ196618:NJL196625 NTF196618:NTH196625 ODB196618:ODD196625 OMX196618:OMZ196625 OWT196618:OWV196625 PGP196618:PGR196625 PQL196618:PQN196625 QAH196618:QAJ196625 QKD196618:QKF196625 QTZ196618:QUB196625 RDV196618:RDX196625 RNR196618:RNT196625 RXN196618:RXP196625 SHJ196618:SHL196625 SRF196618:SRH196625 TBB196618:TBD196625 TKX196618:TKZ196625 TUT196618:TUV196625 UEP196618:UER196625 UOL196618:UON196625 UYH196618:UYJ196625 VID196618:VIF196625 VRZ196618:VSB196625 WBV196618:WBX196625 WLR196618:WLT196625 WVN196618:WVP196625 JB262154:JD262161 SX262154:SZ262161 ACT262154:ACV262161 AMP262154:AMR262161 AWL262154:AWN262161 BGH262154:BGJ262161 BQD262154:BQF262161 BZZ262154:CAB262161 CJV262154:CJX262161 CTR262154:CTT262161 DDN262154:DDP262161 DNJ262154:DNL262161 DXF262154:DXH262161 EHB262154:EHD262161 EQX262154:EQZ262161 FAT262154:FAV262161 FKP262154:FKR262161 FUL262154:FUN262161 GEH262154:GEJ262161 GOD262154:GOF262161 GXZ262154:GYB262161 HHV262154:HHX262161 HRR262154:HRT262161 IBN262154:IBP262161 ILJ262154:ILL262161 IVF262154:IVH262161 JFB262154:JFD262161 JOX262154:JOZ262161 JYT262154:JYV262161 KIP262154:KIR262161 KSL262154:KSN262161 LCH262154:LCJ262161 LMD262154:LMF262161 LVZ262154:LWB262161 MFV262154:MFX262161 MPR262154:MPT262161 MZN262154:MZP262161 NJJ262154:NJL262161 NTF262154:NTH262161 ODB262154:ODD262161 OMX262154:OMZ262161 OWT262154:OWV262161 PGP262154:PGR262161 PQL262154:PQN262161 QAH262154:QAJ262161 QKD262154:QKF262161 QTZ262154:QUB262161 RDV262154:RDX262161 RNR262154:RNT262161 RXN262154:RXP262161 SHJ262154:SHL262161 SRF262154:SRH262161 TBB262154:TBD262161 TKX262154:TKZ262161 TUT262154:TUV262161 UEP262154:UER262161 UOL262154:UON262161 UYH262154:UYJ262161 VID262154:VIF262161 VRZ262154:VSB262161 WBV262154:WBX262161 WLR262154:WLT262161 WVN262154:WVP262161 JB327690:JD327697 SX327690:SZ327697 ACT327690:ACV327697 AMP327690:AMR327697 AWL327690:AWN327697 BGH327690:BGJ327697 BQD327690:BQF327697 BZZ327690:CAB327697 CJV327690:CJX327697 CTR327690:CTT327697 DDN327690:DDP327697 DNJ327690:DNL327697 DXF327690:DXH327697 EHB327690:EHD327697 EQX327690:EQZ327697 FAT327690:FAV327697 FKP327690:FKR327697 FUL327690:FUN327697 GEH327690:GEJ327697 GOD327690:GOF327697 GXZ327690:GYB327697 HHV327690:HHX327697 HRR327690:HRT327697 IBN327690:IBP327697 ILJ327690:ILL327697 IVF327690:IVH327697 JFB327690:JFD327697 JOX327690:JOZ327697 JYT327690:JYV327697 KIP327690:KIR327697 KSL327690:KSN327697 LCH327690:LCJ327697 LMD327690:LMF327697 LVZ327690:LWB327697 MFV327690:MFX327697 MPR327690:MPT327697 MZN327690:MZP327697 NJJ327690:NJL327697 NTF327690:NTH327697 ODB327690:ODD327697 OMX327690:OMZ327697 OWT327690:OWV327697 PGP327690:PGR327697 PQL327690:PQN327697 QAH327690:QAJ327697 QKD327690:QKF327697 QTZ327690:QUB327697 RDV327690:RDX327697 RNR327690:RNT327697 RXN327690:RXP327697 SHJ327690:SHL327697 SRF327690:SRH327697 TBB327690:TBD327697 TKX327690:TKZ327697 TUT327690:TUV327697 UEP327690:UER327697 UOL327690:UON327697 UYH327690:UYJ327697 VID327690:VIF327697 VRZ327690:VSB327697 WBV327690:WBX327697 WLR327690:WLT327697 WVN327690:WVP327697 JB393226:JD393233 SX393226:SZ393233 ACT393226:ACV393233 AMP393226:AMR393233 AWL393226:AWN393233 BGH393226:BGJ393233 BQD393226:BQF393233 BZZ393226:CAB393233 CJV393226:CJX393233 CTR393226:CTT393233 DDN393226:DDP393233 DNJ393226:DNL393233 DXF393226:DXH393233 EHB393226:EHD393233 EQX393226:EQZ393233 FAT393226:FAV393233 FKP393226:FKR393233 FUL393226:FUN393233 GEH393226:GEJ393233 GOD393226:GOF393233 GXZ393226:GYB393233 HHV393226:HHX393233 HRR393226:HRT393233 IBN393226:IBP393233 ILJ393226:ILL393233 IVF393226:IVH393233 JFB393226:JFD393233 JOX393226:JOZ393233 JYT393226:JYV393233 KIP393226:KIR393233 KSL393226:KSN393233 LCH393226:LCJ393233 LMD393226:LMF393233 LVZ393226:LWB393233 MFV393226:MFX393233 MPR393226:MPT393233 MZN393226:MZP393233 NJJ393226:NJL393233 NTF393226:NTH393233 ODB393226:ODD393233 OMX393226:OMZ393233 OWT393226:OWV393233 PGP393226:PGR393233 PQL393226:PQN393233 QAH393226:QAJ393233 QKD393226:QKF393233 QTZ393226:QUB393233 RDV393226:RDX393233 RNR393226:RNT393233 RXN393226:RXP393233 SHJ393226:SHL393233 SRF393226:SRH393233 TBB393226:TBD393233 TKX393226:TKZ393233 TUT393226:TUV393233 UEP393226:UER393233 UOL393226:UON393233 UYH393226:UYJ393233 VID393226:VIF393233 VRZ393226:VSB393233 WBV393226:WBX393233 WLR393226:WLT393233 WVN393226:WVP393233 JB458762:JD458769 SX458762:SZ458769 ACT458762:ACV458769 AMP458762:AMR458769 AWL458762:AWN458769 BGH458762:BGJ458769 BQD458762:BQF458769 BZZ458762:CAB458769 CJV458762:CJX458769 CTR458762:CTT458769 DDN458762:DDP458769 DNJ458762:DNL458769 DXF458762:DXH458769 EHB458762:EHD458769 EQX458762:EQZ458769 FAT458762:FAV458769 FKP458762:FKR458769 FUL458762:FUN458769 GEH458762:GEJ458769 GOD458762:GOF458769 GXZ458762:GYB458769 HHV458762:HHX458769 HRR458762:HRT458769 IBN458762:IBP458769 ILJ458762:ILL458769 IVF458762:IVH458769 JFB458762:JFD458769 JOX458762:JOZ458769 JYT458762:JYV458769 KIP458762:KIR458769 KSL458762:KSN458769 LCH458762:LCJ458769 LMD458762:LMF458769 LVZ458762:LWB458769 MFV458762:MFX458769 MPR458762:MPT458769 MZN458762:MZP458769 NJJ458762:NJL458769 NTF458762:NTH458769 ODB458762:ODD458769 OMX458762:OMZ458769 OWT458762:OWV458769 PGP458762:PGR458769 PQL458762:PQN458769 QAH458762:QAJ458769 QKD458762:QKF458769 QTZ458762:QUB458769 RDV458762:RDX458769 RNR458762:RNT458769 RXN458762:RXP458769 SHJ458762:SHL458769 SRF458762:SRH458769 TBB458762:TBD458769 TKX458762:TKZ458769 TUT458762:TUV458769 UEP458762:UER458769 UOL458762:UON458769 UYH458762:UYJ458769 VID458762:VIF458769 VRZ458762:VSB458769 WBV458762:WBX458769 WLR458762:WLT458769 WVN458762:WVP458769 JB524298:JD524305 SX524298:SZ524305 ACT524298:ACV524305 AMP524298:AMR524305 AWL524298:AWN524305 BGH524298:BGJ524305 BQD524298:BQF524305 BZZ524298:CAB524305 CJV524298:CJX524305 CTR524298:CTT524305 DDN524298:DDP524305 DNJ524298:DNL524305 DXF524298:DXH524305 EHB524298:EHD524305 EQX524298:EQZ524305 FAT524298:FAV524305 FKP524298:FKR524305 FUL524298:FUN524305 GEH524298:GEJ524305 GOD524298:GOF524305 GXZ524298:GYB524305 HHV524298:HHX524305 HRR524298:HRT524305 IBN524298:IBP524305 ILJ524298:ILL524305 IVF524298:IVH524305 JFB524298:JFD524305 JOX524298:JOZ524305 JYT524298:JYV524305 KIP524298:KIR524305 KSL524298:KSN524305 LCH524298:LCJ524305 LMD524298:LMF524305 LVZ524298:LWB524305 MFV524298:MFX524305 MPR524298:MPT524305 MZN524298:MZP524305 NJJ524298:NJL524305 NTF524298:NTH524305 ODB524298:ODD524305 OMX524298:OMZ524305 OWT524298:OWV524305 PGP524298:PGR524305 PQL524298:PQN524305 QAH524298:QAJ524305 QKD524298:QKF524305 QTZ524298:QUB524305 RDV524298:RDX524305 RNR524298:RNT524305 RXN524298:RXP524305 SHJ524298:SHL524305 SRF524298:SRH524305 TBB524298:TBD524305 TKX524298:TKZ524305 TUT524298:TUV524305 UEP524298:UER524305 UOL524298:UON524305 UYH524298:UYJ524305 VID524298:VIF524305 VRZ524298:VSB524305 WBV524298:WBX524305 WLR524298:WLT524305 WVN524298:WVP524305 JB589834:JD589841 SX589834:SZ589841 ACT589834:ACV589841 AMP589834:AMR589841 AWL589834:AWN589841 BGH589834:BGJ589841 BQD589834:BQF589841 BZZ589834:CAB589841 CJV589834:CJX589841 CTR589834:CTT589841 DDN589834:DDP589841 DNJ589834:DNL589841 DXF589834:DXH589841 EHB589834:EHD589841 EQX589834:EQZ589841 FAT589834:FAV589841 FKP589834:FKR589841 FUL589834:FUN589841 GEH589834:GEJ589841 GOD589834:GOF589841 GXZ589834:GYB589841 HHV589834:HHX589841 HRR589834:HRT589841 IBN589834:IBP589841 ILJ589834:ILL589841 IVF589834:IVH589841 JFB589834:JFD589841 JOX589834:JOZ589841 JYT589834:JYV589841 KIP589834:KIR589841 KSL589834:KSN589841 LCH589834:LCJ589841 LMD589834:LMF589841 LVZ589834:LWB589841 MFV589834:MFX589841 MPR589834:MPT589841 MZN589834:MZP589841 NJJ589834:NJL589841 NTF589834:NTH589841 ODB589834:ODD589841 OMX589834:OMZ589841 OWT589834:OWV589841 PGP589834:PGR589841 PQL589834:PQN589841 QAH589834:QAJ589841 QKD589834:QKF589841 QTZ589834:QUB589841 RDV589834:RDX589841 RNR589834:RNT589841 RXN589834:RXP589841 SHJ589834:SHL589841 SRF589834:SRH589841 TBB589834:TBD589841 TKX589834:TKZ589841 TUT589834:TUV589841 UEP589834:UER589841 UOL589834:UON589841 UYH589834:UYJ589841 VID589834:VIF589841 VRZ589834:VSB589841 WBV589834:WBX589841 WLR589834:WLT589841 WVN589834:WVP589841 JB655370:JD655377 SX655370:SZ655377 ACT655370:ACV655377 AMP655370:AMR655377 AWL655370:AWN655377 BGH655370:BGJ655377 BQD655370:BQF655377 BZZ655370:CAB655377 CJV655370:CJX655377 CTR655370:CTT655377 DDN655370:DDP655377 DNJ655370:DNL655377 DXF655370:DXH655377 EHB655370:EHD655377 EQX655370:EQZ655377 FAT655370:FAV655377 FKP655370:FKR655377 FUL655370:FUN655377 GEH655370:GEJ655377 GOD655370:GOF655377 GXZ655370:GYB655377 HHV655370:HHX655377 HRR655370:HRT655377 IBN655370:IBP655377 ILJ655370:ILL655377 IVF655370:IVH655377 JFB655370:JFD655377 JOX655370:JOZ655377 JYT655370:JYV655377 KIP655370:KIR655377 KSL655370:KSN655377 LCH655370:LCJ655377 LMD655370:LMF655377 LVZ655370:LWB655377 MFV655370:MFX655377 MPR655370:MPT655377 MZN655370:MZP655377 NJJ655370:NJL655377 NTF655370:NTH655377 ODB655370:ODD655377 OMX655370:OMZ655377 OWT655370:OWV655377 PGP655370:PGR655377 PQL655370:PQN655377 QAH655370:QAJ655377 QKD655370:QKF655377 QTZ655370:QUB655377 RDV655370:RDX655377 RNR655370:RNT655377 RXN655370:RXP655377 SHJ655370:SHL655377 SRF655370:SRH655377 TBB655370:TBD655377 TKX655370:TKZ655377 TUT655370:TUV655377 UEP655370:UER655377 UOL655370:UON655377 UYH655370:UYJ655377 VID655370:VIF655377 VRZ655370:VSB655377 WBV655370:WBX655377 WLR655370:WLT655377 WVN655370:WVP655377 JB720906:JD720913 SX720906:SZ720913 ACT720906:ACV720913 AMP720906:AMR720913 AWL720906:AWN720913 BGH720906:BGJ720913 BQD720906:BQF720913 BZZ720906:CAB720913 CJV720906:CJX720913 CTR720906:CTT720913 DDN720906:DDP720913 DNJ720906:DNL720913 DXF720906:DXH720913 EHB720906:EHD720913 EQX720906:EQZ720913 FAT720906:FAV720913 FKP720906:FKR720913 FUL720906:FUN720913 GEH720906:GEJ720913 GOD720906:GOF720913 GXZ720906:GYB720913 HHV720906:HHX720913 HRR720906:HRT720913 IBN720906:IBP720913 ILJ720906:ILL720913 IVF720906:IVH720913 JFB720906:JFD720913 JOX720906:JOZ720913 JYT720906:JYV720913 KIP720906:KIR720913 KSL720906:KSN720913 LCH720906:LCJ720913 LMD720906:LMF720913 LVZ720906:LWB720913 MFV720906:MFX720913 MPR720906:MPT720913 MZN720906:MZP720913 NJJ720906:NJL720913 NTF720906:NTH720913 ODB720906:ODD720913 OMX720906:OMZ720913 OWT720906:OWV720913 PGP720906:PGR720913 PQL720906:PQN720913 QAH720906:QAJ720913 QKD720906:QKF720913 QTZ720906:QUB720913 RDV720906:RDX720913 RNR720906:RNT720913 RXN720906:RXP720913 SHJ720906:SHL720913 SRF720906:SRH720913 TBB720906:TBD720913 TKX720906:TKZ720913 TUT720906:TUV720913 UEP720906:UER720913 UOL720906:UON720913 UYH720906:UYJ720913 VID720906:VIF720913 VRZ720906:VSB720913 WBV720906:WBX720913 WLR720906:WLT720913 WVN720906:WVP720913 JB786442:JD786449 SX786442:SZ786449 ACT786442:ACV786449 AMP786442:AMR786449 AWL786442:AWN786449 BGH786442:BGJ786449 BQD786442:BQF786449 BZZ786442:CAB786449 CJV786442:CJX786449 CTR786442:CTT786449 DDN786442:DDP786449 DNJ786442:DNL786449 DXF786442:DXH786449 EHB786442:EHD786449 EQX786442:EQZ786449 FAT786442:FAV786449 FKP786442:FKR786449 FUL786442:FUN786449 GEH786442:GEJ786449 GOD786442:GOF786449 GXZ786442:GYB786449 HHV786442:HHX786449 HRR786442:HRT786449 IBN786442:IBP786449 ILJ786442:ILL786449 IVF786442:IVH786449 JFB786442:JFD786449 JOX786442:JOZ786449 JYT786442:JYV786449 KIP786442:KIR786449 KSL786442:KSN786449 LCH786442:LCJ786449 LMD786442:LMF786449 LVZ786442:LWB786449 MFV786442:MFX786449 MPR786442:MPT786449 MZN786442:MZP786449 NJJ786442:NJL786449 NTF786442:NTH786449 ODB786442:ODD786449 OMX786442:OMZ786449 OWT786442:OWV786449 PGP786442:PGR786449 PQL786442:PQN786449 QAH786442:QAJ786449 QKD786442:QKF786449 QTZ786442:QUB786449 RDV786442:RDX786449 RNR786442:RNT786449 RXN786442:RXP786449 SHJ786442:SHL786449 SRF786442:SRH786449 TBB786442:TBD786449 TKX786442:TKZ786449 TUT786442:TUV786449 UEP786442:UER786449 UOL786442:UON786449 UYH786442:UYJ786449 VID786442:VIF786449 VRZ786442:VSB786449 WBV786442:WBX786449 WLR786442:WLT786449 WVN786442:WVP786449 JB851978:JD851985 SX851978:SZ851985 ACT851978:ACV851985 AMP851978:AMR851985 AWL851978:AWN851985 BGH851978:BGJ851985 BQD851978:BQF851985 BZZ851978:CAB851985 CJV851978:CJX851985 CTR851978:CTT851985 DDN851978:DDP851985 DNJ851978:DNL851985 DXF851978:DXH851985 EHB851978:EHD851985 EQX851978:EQZ851985 FAT851978:FAV851985 FKP851978:FKR851985 FUL851978:FUN851985 GEH851978:GEJ851985 GOD851978:GOF851985 GXZ851978:GYB851985 HHV851978:HHX851985 HRR851978:HRT851985 IBN851978:IBP851985 ILJ851978:ILL851985 IVF851978:IVH851985 JFB851978:JFD851985 JOX851978:JOZ851985 JYT851978:JYV851985 KIP851978:KIR851985 KSL851978:KSN851985 LCH851978:LCJ851985 LMD851978:LMF851985 LVZ851978:LWB851985 MFV851978:MFX851985 MPR851978:MPT851985 MZN851978:MZP851985 NJJ851978:NJL851985 NTF851978:NTH851985 ODB851978:ODD851985 OMX851978:OMZ851985 OWT851978:OWV851985 PGP851978:PGR851985 PQL851978:PQN851985 QAH851978:QAJ851985 QKD851978:QKF851985 QTZ851978:QUB851985 RDV851978:RDX851985 RNR851978:RNT851985 RXN851978:RXP851985 SHJ851978:SHL851985 SRF851978:SRH851985 TBB851978:TBD851985 TKX851978:TKZ851985 TUT851978:TUV851985 UEP851978:UER851985 UOL851978:UON851985 UYH851978:UYJ851985 VID851978:VIF851985 VRZ851978:VSB851985 WBV851978:WBX851985 WLR851978:WLT851985 WVN851978:WVP851985 JB917514:JD917521 SX917514:SZ917521 ACT917514:ACV917521 AMP917514:AMR917521 AWL917514:AWN917521 BGH917514:BGJ917521 BQD917514:BQF917521 BZZ917514:CAB917521 CJV917514:CJX917521 CTR917514:CTT917521 DDN917514:DDP917521 DNJ917514:DNL917521 DXF917514:DXH917521 EHB917514:EHD917521 EQX917514:EQZ917521 FAT917514:FAV917521 FKP917514:FKR917521 FUL917514:FUN917521 GEH917514:GEJ917521 GOD917514:GOF917521 GXZ917514:GYB917521 HHV917514:HHX917521 HRR917514:HRT917521 IBN917514:IBP917521 ILJ917514:ILL917521 IVF917514:IVH917521 JFB917514:JFD917521 JOX917514:JOZ917521 JYT917514:JYV917521 KIP917514:KIR917521 KSL917514:KSN917521 LCH917514:LCJ917521 LMD917514:LMF917521 LVZ917514:LWB917521 MFV917514:MFX917521 MPR917514:MPT917521 MZN917514:MZP917521 NJJ917514:NJL917521 NTF917514:NTH917521 ODB917514:ODD917521 OMX917514:OMZ917521 OWT917514:OWV917521 PGP917514:PGR917521 PQL917514:PQN917521 QAH917514:QAJ917521 QKD917514:QKF917521 QTZ917514:QUB917521 RDV917514:RDX917521 RNR917514:RNT917521 RXN917514:RXP917521 SHJ917514:SHL917521 SRF917514:SRH917521 TBB917514:TBD917521 TKX917514:TKZ917521 TUT917514:TUV917521 UEP917514:UER917521 UOL917514:UON917521 UYH917514:UYJ917521 VID917514:VIF917521 VRZ917514:VSB917521 WBV917514:WBX917521 WLR917514:WLT917521 WVN917514:WVP917521 JB983050:JD983057 SX983050:SZ983057 ACT983050:ACV983057 AMP983050:AMR983057 AWL983050:AWN983057 BGH983050:BGJ983057 BQD983050:BQF983057 BZZ983050:CAB983057 CJV983050:CJX983057 CTR983050:CTT983057 DDN983050:DDP983057 DNJ983050:DNL983057 DXF983050:DXH983057 EHB983050:EHD983057 EQX983050:EQZ983057 FAT983050:FAV983057 FKP983050:FKR983057 FUL983050:FUN983057 GEH983050:GEJ983057 GOD983050:GOF983057 GXZ983050:GYB983057 HHV983050:HHX983057 HRR983050:HRT983057 IBN983050:IBP983057 ILJ983050:ILL983057 IVF983050:IVH983057 JFB983050:JFD983057 JOX983050:JOZ983057 JYT983050:JYV983057 KIP983050:KIR983057 KSL983050:KSN983057 LCH983050:LCJ983057 LMD983050:LMF983057 LVZ983050:LWB983057 MFV983050:MFX983057 MPR983050:MPT983057 MZN983050:MZP983057 NJJ983050:NJL983057 NTF983050:NTH983057 ODB983050:ODD983057 OMX983050:OMZ983057 OWT983050:OWV983057 PGP983050:PGR983057 PQL983050:PQN983057 QAH983050:QAJ983057 QKD983050:QKF983057 QTZ983050:QUB983057 RDV983050:RDX983057 RNR983050:RNT983057 RXN983050:RXP983057 SHJ983050:SHL983057 SRF983050:SRH983057 TBB983050:TBD983057 TKX983050:TKZ983057 TUT983050:TUV983057 UEP983050:UER983057 UOL983050:UON983057 UYH983050:UYJ983057 VID983050:VIF983057 VRZ983050:VSB983057 WBV983050:WBX983057 WLR983050:WLT983057 WVN983050:WVP983057 D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C65558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C131094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C196630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C262166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C327702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C393238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C458774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C524310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C589846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C655382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C720918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C786454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C851990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C917526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C983062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D983049:F983056 D917513:F917520 D851977:F851984 D786441:F786448 D720905:F720912 D655369:F655376 D589833:F589840 D524297:F524304 D458761:F458768 D393225:F393232 D327689:F327696 D262153:F262160 D196617:F196624 D131081:F131088 D5:F12" xr:uid="{00000000-0002-0000-0000-000001000000}">
      <formula1>0</formula1>
    </dataValidation>
    <dataValidation type="list" allowBlank="1" showInputMessage="1" showErrorMessage="1" sqref="C18" xr:uid="{00000000-0002-0000-0000-000002000000}">
      <formula1>"給与,年金(65歳以上),年金(65歳未満),その他"</formula1>
    </dataValidation>
  </dataValidations>
  <pageMargins left="0.7" right="0.7" top="0.75" bottom="0.75" header="0.3" footer="0.3"/>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リセット">
                <anchor moveWithCells="1" sizeWithCells="1">
                  <from>
                    <xdr:col>5</xdr:col>
                    <xdr:colOff>1250950</xdr:colOff>
                    <xdr:row>0</xdr:row>
                    <xdr:rowOff>88900</xdr:rowOff>
                  </from>
                  <to>
                    <xdr:col>7</xdr:col>
                    <xdr:colOff>1098550</xdr:colOff>
                    <xdr:row>2</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B1:M19"/>
  <sheetViews>
    <sheetView zoomScale="80" zoomScaleNormal="80" workbookViewId="0">
      <selection activeCell="F3" sqref="F3"/>
    </sheetView>
  </sheetViews>
  <sheetFormatPr defaultColWidth="9" defaultRowHeight="19" x14ac:dyDescent="0.2"/>
  <cols>
    <col min="1" max="1" width="6.36328125" style="5" customWidth="1"/>
    <col min="2" max="2" width="14.6328125" style="5" customWidth="1"/>
    <col min="3" max="3" width="3.90625" style="5" bestFit="1" customWidth="1"/>
    <col min="4" max="4" width="14.08984375" style="5" bestFit="1" customWidth="1"/>
    <col min="5" max="5" width="3.90625" style="5" bestFit="1" customWidth="1"/>
    <col min="6" max="6" width="20.36328125" style="5" customWidth="1"/>
    <col min="7" max="7" width="3.90625" style="5" bestFit="1" customWidth="1"/>
    <col min="8" max="8" width="55.90625" style="5" customWidth="1"/>
    <col min="9" max="9" width="9" style="5"/>
    <col min="10" max="10" width="9" style="118"/>
    <col min="11" max="11" width="9" style="116"/>
    <col min="12" max="13" width="9" style="118"/>
    <col min="14" max="16384" width="9" style="5"/>
  </cols>
  <sheetData>
    <row r="1" spans="2:8" ht="19.5" thickBot="1" x14ac:dyDescent="0.25"/>
    <row r="2" spans="2:8" ht="30" customHeight="1" thickBot="1" x14ac:dyDescent="0.25">
      <c r="B2" s="196" t="s">
        <v>0</v>
      </c>
      <c r="C2" s="197"/>
      <c r="D2" s="197"/>
      <c r="E2" s="198"/>
      <c r="F2" s="1">
        <v>1000000</v>
      </c>
      <c r="G2" s="6" t="s">
        <v>1</v>
      </c>
      <c r="H2" s="5" t="s">
        <v>3</v>
      </c>
    </row>
    <row r="3" spans="2:8" ht="30" customHeight="1" thickBot="1" x14ac:dyDescent="0.25">
      <c r="B3" s="196" t="s">
        <v>89</v>
      </c>
      <c r="C3" s="197"/>
      <c r="D3" s="197"/>
      <c r="E3" s="198"/>
      <c r="F3" s="154">
        <f>IFERROR(SUM(F14:F18,H11),"")</f>
        <v>350000</v>
      </c>
      <c r="G3" s="6" t="s">
        <v>86</v>
      </c>
    </row>
    <row r="4" spans="2:8" ht="22.5" customHeight="1" x14ac:dyDescent="0.2"/>
    <row r="5" spans="2:8" ht="19.5" thickBot="1" x14ac:dyDescent="0.25">
      <c r="B5" s="5" t="s">
        <v>87</v>
      </c>
    </row>
    <row r="6" spans="2:8" x14ac:dyDescent="0.2">
      <c r="B6" s="199" t="s">
        <v>88</v>
      </c>
      <c r="C6" s="200"/>
      <c r="D6" s="200"/>
      <c r="E6" s="200"/>
      <c r="F6" s="214" t="s">
        <v>122</v>
      </c>
      <c r="G6" s="215"/>
      <c r="H6" s="205" t="s">
        <v>79</v>
      </c>
    </row>
    <row r="7" spans="2:8" x14ac:dyDescent="0.2">
      <c r="B7" s="201" t="s">
        <v>76</v>
      </c>
      <c r="C7" s="202"/>
      <c r="D7" s="202"/>
      <c r="E7" s="202"/>
      <c r="F7" s="216" t="s">
        <v>120</v>
      </c>
      <c r="G7" s="217"/>
      <c r="H7" s="206"/>
    </row>
    <row r="8" spans="2:8" x14ac:dyDescent="0.2">
      <c r="B8" s="210" t="s">
        <v>77</v>
      </c>
      <c r="C8" s="211"/>
      <c r="D8" s="211"/>
      <c r="E8" s="211"/>
      <c r="F8" s="216" t="s">
        <v>120</v>
      </c>
      <c r="G8" s="217"/>
      <c r="H8" s="206"/>
    </row>
    <row r="9" spans="2:8" ht="19.5" thickBot="1" x14ac:dyDescent="0.25">
      <c r="B9" s="212" t="s">
        <v>78</v>
      </c>
      <c r="C9" s="213"/>
      <c r="D9" s="213"/>
      <c r="E9" s="213"/>
      <c r="F9" s="218" t="s">
        <v>120</v>
      </c>
      <c r="G9" s="219"/>
      <c r="H9" s="206"/>
    </row>
    <row r="10" spans="2:8" ht="20" thickTop="1" thickBot="1" x14ac:dyDescent="0.25">
      <c r="B10" s="203" t="s">
        <v>75</v>
      </c>
      <c r="C10" s="204"/>
      <c r="D10" s="204"/>
      <c r="E10" s="204"/>
      <c r="F10" s="208" t="str">
        <f>IF(F2&lt;8500000,"非該当",IF(AND(F6="",F7="",F8="",F9=""),"",IF(AND(F6="非該当",F7="なし",F8="なし",F9="なし"),"非該当",IF(F2&gt;10000000,150000,(F2-8500000)*0.1))))</f>
        <v>非該当</v>
      </c>
      <c r="G10" s="209"/>
      <c r="H10" s="207"/>
    </row>
    <row r="11" spans="2:8" ht="19.5" thickBot="1" x14ac:dyDescent="0.25">
      <c r="B11" s="191" t="s">
        <v>80</v>
      </c>
      <c r="C11" s="192"/>
      <c r="D11" s="192"/>
      <c r="E11" s="192"/>
      <c r="F11" s="192"/>
      <c r="G11" s="193"/>
      <c r="H11" s="149" t="str">
        <f>IFERROR(IF(F10="非該当",$F$19,IF(F10="非該当","",F19-F10)),"")</f>
        <v/>
      </c>
    </row>
    <row r="12" spans="2:8" ht="19.5" thickBot="1" x14ac:dyDescent="0.25"/>
    <row r="13" spans="2:8" ht="30" customHeight="1" x14ac:dyDescent="0.2">
      <c r="B13" s="194" t="s">
        <v>4</v>
      </c>
      <c r="C13" s="195"/>
      <c r="D13" s="195"/>
      <c r="E13" s="195"/>
      <c r="F13" s="194" t="s">
        <v>5</v>
      </c>
      <c r="G13" s="195"/>
      <c r="H13" s="18" t="s">
        <v>6</v>
      </c>
    </row>
    <row r="14" spans="2:8" ht="30" customHeight="1" x14ac:dyDescent="0.2">
      <c r="B14" s="3"/>
      <c r="C14" s="7" t="s">
        <v>2</v>
      </c>
      <c r="D14" s="8">
        <v>650999</v>
      </c>
      <c r="E14" s="8" t="s">
        <v>1</v>
      </c>
      <c r="F14" s="2" t="str">
        <f>IF(AND(F2&lt;=D14,F2&lt;&gt;""),0,"")</f>
        <v/>
      </c>
      <c r="G14" s="9" t="s">
        <v>1</v>
      </c>
      <c r="H14" s="10" t="s">
        <v>7</v>
      </c>
    </row>
    <row r="15" spans="2:8" ht="30" customHeight="1" x14ac:dyDescent="0.2">
      <c r="B15" s="2">
        <v>651000</v>
      </c>
      <c r="C15" s="11" t="s">
        <v>2</v>
      </c>
      <c r="D15" s="12">
        <v>1899999</v>
      </c>
      <c r="E15" s="12" t="s">
        <v>1</v>
      </c>
      <c r="F15" s="2">
        <f>IF(AND($F$2&lt;=D15,$F$2&gt;=B15),F2-650000,"")</f>
        <v>350000</v>
      </c>
      <c r="G15" s="13" t="s">
        <v>1</v>
      </c>
      <c r="H15" s="10" t="s">
        <v>128</v>
      </c>
    </row>
    <row r="16" spans="2:8" ht="30" customHeight="1" x14ac:dyDescent="0.2">
      <c r="B16" s="3">
        <v>1900000</v>
      </c>
      <c r="C16" s="7" t="s">
        <v>2</v>
      </c>
      <c r="D16" s="12">
        <v>3599999</v>
      </c>
      <c r="E16" s="8" t="s">
        <v>1</v>
      </c>
      <c r="F16" s="2" t="str">
        <f>IF(AND($F$2&gt;=B16,$F$2&lt;=D16),(ROUNDDOWN(F2/4,-3)*2.8)-80000,"")</f>
        <v/>
      </c>
      <c r="G16" s="9" t="s">
        <v>1</v>
      </c>
      <c r="H16" s="10" t="s">
        <v>136</v>
      </c>
    </row>
    <row r="17" spans="2:8" ht="30" customHeight="1" x14ac:dyDescent="0.2">
      <c r="B17" s="2">
        <v>3600000</v>
      </c>
      <c r="C17" s="11" t="s">
        <v>2</v>
      </c>
      <c r="D17" s="8">
        <v>6599999</v>
      </c>
      <c r="E17" s="12" t="s">
        <v>1</v>
      </c>
      <c r="F17" s="2" t="str">
        <f>IF(AND($F$2&gt;=B17,$F$2&lt;=D17),(ROUNDDOWN(F2/4,-3)*3.2)-440000,"")</f>
        <v/>
      </c>
      <c r="G17" s="166" t="s">
        <v>1</v>
      </c>
      <c r="H17" s="10" t="s">
        <v>135</v>
      </c>
    </row>
    <row r="18" spans="2:8" ht="30" customHeight="1" x14ac:dyDescent="0.2">
      <c r="B18" s="2">
        <v>6600000</v>
      </c>
      <c r="C18" s="11" t="s">
        <v>2</v>
      </c>
      <c r="D18" s="12">
        <v>8499999</v>
      </c>
      <c r="E18" s="12" t="s">
        <v>1</v>
      </c>
      <c r="F18" s="3" t="str">
        <f>IF(AND($F$2&gt;=B18,$F$2&lt;=D18),(F2*0.9)-1100000,"")</f>
        <v/>
      </c>
      <c r="G18" s="13" t="s">
        <v>1</v>
      </c>
      <c r="H18" s="10" t="s">
        <v>73</v>
      </c>
    </row>
    <row r="19" spans="2:8" ht="30" customHeight="1" thickBot="1" x14ac:dyDescent="0.25">
      <c r="B19" s="4">
        <v>8500000</v>
      </c>
      <c r="C19" s="15" t="s">
        <v>2</v>
      </c>
      <c r="D19" s="14"/>
      <c r="E19" s="14"/>
      <c r="F19" s="117" t="str">
        <f>IF($F$2&gt;=B19,F2-1950000,"")</f>
        <v/>
      </c>
      <c r="G19" s="16" t="s">
        <v>1</v>
      </c>
      <c r="H19" s="17" t="s">
        <v>74</v>
      </c>
    </row>
  </sheetData>
  <sheetProtection selectLockedCells="1"/>
  <mergeCells count="16">
    <mergeCell ref="H6:H10"/>
    <mergeCell ref="F10:G10"/>
    <mergeCell ref="B8:E8"/>
    <mergeCell ref="B9:E9"/>
    <mergeCell ref="F6:G6"/>
    <mergeCell ref="F7:G7"/>
    <mergeCell ref="F8:G8"/>
    <mergeCell ref="F9:G9"/>
    <mergeCell ref="B11:G11"/>
    <mergeCell ref="F13:G13"/>
    <mergeCell ref="B2:E2"/>
    <mergeCell ref="B13:E13"/>
    <mergeCell ref="B6:E6"/>
    <mergeCell ref="B7:E7"/>
    <mergeCell ref="B10:E10"/>
    <mergeCell ref="B3:E3"/>
  </mergeCells>
  <phoneticPr fontId="1"/>
  <conditionalFormatting sqref="F6:G9">
    <cfRule type="expression" dxfId="1" priority="5">
      <formula>$F$2&lt;8500000</formula>
    </cfRule>
    <cfRule type="expression" dxfId="0" priority="6">
      <formula>$F$19&gt;6549999</formula>
    </cfRule>
  </conditionalFormatting>
  <dataValidations count="2">
    <dataValidation type="list" allowBlank="1" showInputMessage="1" showErrorMessage="1" sqref="F7:G9" xr:uid="{00000000-0002-0000-0100-000000000000}">
      <formula1>"なし,あり"</formula1>
    </dataValidation>
    <dataValidation type="list" allowBlank="1" showInputMessage="1" showErrorMessage="1" sqref="F6:G6" xr:uid="{00000000-0002-0000-0100-000001000000}">
      <formula1>"非該当,該当"</formula1>
    </dataValidation>
  </dataValidations>
  <pageMargins left="0.7" right="0.7" top="0.75" bottom="0.75" header="0.3" footer="0.3"/>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B1:N23"/>
  <sheetViews>
    <sheetView zoomScale="85" zoomScaleNormal="85" workbookViewId="0">
      <selection activeCell="H6" sqref="H6"/>
    </sheetView>
  </sheetViews>
  <sheetFormatPr defaultColWidth="9" defaultRowHeight="13" x14ac:dyDescent="0.2"/>
  <cols>
    <col min="1" max="1" width="9" style="31"/>
    <col min="2" max="2" width="16.36328125" style="31" bestFit="1" customWidth="1"/>
    <col min="3" max="3" width="3.90625" style="31" bestFit="1" customWidth="1"/>
    <col min="4" max="4" width="14.90625" style="31" bestFit="1" customWidth="1"/>
    <col min="5" max="5" width="3.90625" style="31" bestFit="1" customWidth="1"/>
    <col min="6" max="6" width="25.6328125" style="31" customWidth="1"/>
    <col min="7" max="7" width="3.90625" style="31" bestFit="1" customWidth="1"/>
    <col min="8" max="8" width="28.36328125" style="31" customWidth="1"/>
    <col min="9" max="9" width="26.90625" style="31" customWidth="1"/>
    <col min="10" max="10" width="4" style="31" customWidth="1"/>
    <col min="11" max="11" width="27.36328125" style="31" customWidth="1"/>
    <col min="12" max="12" width="23.90625" style="31" customWidth="1"/>
    <col min="13" max="13" width="4.08984375" style="31" bestFit="1" customWidth="1"/>
    <col min="14" max="14" width="28.36328125" style="31" customWidth="1"/>
    <col min="15" max="16384" width="9" style="31"/>
  </cols>
  <sheetData>
    <row r="1" spans="2:14" s="19" customFormat="1" ht="19.5" thickBot="1" x14ac:dyDescent="0.25"/>
    <row r="2" spans="2:14" s="19" customFormat="1" ht="30" customHeight="1" thickBot="1" x14ac:dyDescent="0.25">
      <c r="B2" s="227" t="s">
        <v>8</v>
      </c>
      <c r="C2" s="228"/>
      <c r="D2" s="228"/>
      <c r="E2" s="229"/>
      <c r="F2" s="1"/>
      <c r="G2" s="20" t="s">
        <v>1</v>
      </c>
      <c r="H2" s="19" t="s">
        <v>3</v>
      </c>
    </row>
    <row r="3" spans="2:14" s="19" customFormat="1" ht="30" customHeight="1" thickBot="1" x14ac:dyDescent="0.25">
      <c r="B3" s="227" t="s">
        <v>12</v>
      </c>
      <c r="C3" s="228"/>
      <c r="D3" s="228"/>
      <c r="E3" s="229"/>
      <c r="F3" s="1"/>
      <c r="G3" s="20" t="s">
        <v>11</v>
      </c>
    </row>
    <row r="4" spans="2:14" s="19" customFormat="1" ht="30" customHeight="1" thickBot="1" x14ac:dyDescent="0.7">
      <c r="B4" s="227" t="s">
        <v>115</v>
      </c>
      <c r="C4" s="228"/>
      <c r="D4" s="228"/>
      <c r="E4" s="229"/>
      <c r="F4" s="152" ph="1"/>
      <c r="G4" s="20" t="s">
        <v>114</v>
      </c>
    </row>
    <row r="5" spans="2:14" s="19" customFormat="1" ht="30" customHeight="1" thickBot="1" x14ac:dyDescent="0.25">
      <c r="B5" s="227" t="s">
        <v>119</v>
      </c>
      <c r="C5" s="228"/>
      <c r="D5" s="228"/>
      <c r="E5" s="229"/>
      <c r="F5" s="150">
        <f>SUM(F10:F14,I10:I14,L10:L14,F19:F23,I19:I23,L19:L23)</f>
        <v>0</v>
      </c>
      <c r="G5" s="20" t="s">
        <v>118</v>
      </c>
    </row>
    <row r="6" spans="2:14" s="19" customFormat="1" ht="13.5" customHeight="1" x14ac:dyDescent="0.2"/>
    <row r="7" spans="2:14" s="19" customFormat="1" ht="23.25" customHeight="1" thickBot="1" x14ac:dyDescent="0.25">
      <c r="B7" s="19" t="s">
        <v>90</v>
      </c>
    </row>
    <row r="8" spans="2:14" s="19" customFormat="1" ht="30" customHeight="1" x14ac:dyDescent="0.2">
      <c r="B8" s="230" t="s">
        <v>4</v>
      </c>
      <c r="C8" s="231"/>
      <c r="D8" s="231"/>
      <c r="E8" s="232"/>
      <c r="F8" s="236" t="s">
        <v>103</v>
      </c>
      <c r="G8" s="237"/>
      <c r="H8" s="238"/>
      <c r="I8" s="220" t="s">
        <v>104</v>
      </c>
      <c r="J8" s="221"/>
      <c r="K8" s="222"/>
      <c r="L8" s="220" t="s">
        <v>105</v>
      </c>
      <c r="M8" s="221"/>
      <c r="N8" s="222"/>
    </row>
    <row r="9" spans="2:14" s="19" customFormat="1" ht="30" customHeight="1" x14ac:dyDescent="0.2">
      <c r="B9" s="233"/>
      <c r="C9" s="234"/>
      <c r="D9" s="234"/>
      <c r="E9" s="235"/>
      <c r="F9" s="223" t="s">
        <v>9</v>
      </c>
      <c r="G9" s="224"/>
      <c r="H9" s="119" t="s">
        <v>6</v>
      </c>
      <c r="I9" s="225" t="s">
        <v>9</v>
      </c>
      <c r="J9" s="226"/>
      <c r="K9" s="120" t="s">
        <v>6</v>
      </c>
      <c r="L9" s="225" t="s">
        <v>9</v>
      </c>
      <c r="M9" s="226"/>
      <c r="N9" s="120" t="s">
        <v>6</v>
      </c>
    </row>
    <row r="10" spans="2:14" s="19" customFormat="1" ht="30" customHeight="1" x14ac:dyDescent="0.2">
      <c r="B10" s="24"/>
      <c r="C10" s="26" t="s">
        <v>2</v>
      </c>
      <c r="D10" s="27">
        <v>1299999</v>
      </c>
      <c r="E10" s="121" t="s">
        <v>1</v>
      </c>
      <c r="F10" s="21" t="str">
        <f>IF(F4="1000万円以下",IF(AND($F$3&lt;65,$F$3&gt;60,$F$2&lt;=$D$10,$F$2&gt;600000),$F$2-600000,IF(AND($F$3&lt;65,$F$3&gt;60,$F$2&lt;=600000),0,"")),"")</f>
        <v/>
      </c>
      <c r="G10" s="122" t="s">
        <v>1</v>
      </c>
      <c r="H10" s="123" t="s">
        <v>81</v>
      </c>
      <c r="I10" s="21" t="str">
        <f>IF(F4="1000～2000万円",IF(AND($F$3&lt;65,$F$3&gt;60,$F$2&lt;=$D$10,$F$2&gt;500000),$F$2-500000,IF(AND($F$3&lt;65,$F$3&gt;60,$F$2&lt;=500000),0,"")),"")</f>
        <v/>
      </c>
      <c r="J10" s="122" t="s">
        <v>1</v>
      </c>
      <c r="K10" s="123" t="s">
        <v>91</v>
      </c>
      <c r="L10" s="21" t="str">
        <f>IF(F4="2000万円以上",IF(AND($F$3&lt;65,$F$3&gt;60,$F$2&lt;=$D$10,$F$2&gt;400000),$F$2-400000,IF(AND($F$3&lt;65,$F$3&gt;60,$F$2&lt;=400000),0,"")),"")</f>
        <v/>
      </c>
      <c r="M10" s="122" t="s">
        <v>1</v>
      </c>
      <c r="N10" s="123" t="s">
        <v>97</v>
      </c>
    </row>
    <row r="11" spans="2:14" s="19" customFormat="1" ht="30" customHeight="1" x14ac:dyDescent="0.2">
      <c r="B11" s="21">
        <v>1300000</v>
      </c>
      <c r="C11" s="22" t="s">
        <v>2</v>
      </c>
      <c r="D11" s="23">
        <v>4099999</v>
      </c>
      <c r="E11" s="124" t="s">
        <v>1</v>
      </c>
      <c r="F11" s="24" t="str">
        <f>IF(F4="1000万円以下",IF(AND($F$3&lt;65,$F$3&gt;60,$F$2&lt;=$D$11,$F$2&gt;=$B$11),($F$2*0.75)-275000,""),"")</f>
        <v/>
      </c>
      <c r="G11" s="122" t="s">
        <v>1</v>
      </c>
      <c r="H11" s="123" t="s">
        <v>82</v>
      </c>
      <c r="I11" s="24" t="str">
        <f>IF(F4="1000～2000万円",IF(AND($F$3&lt;65,$F$3&gt;60,$F$2&lt;=$D$11,$F$2&gt;=$B$11),($F$2*0.75)-175000,""),"")</f>
        <v/>
      </c>
      <c r="J11" s="122" t="s">
        <v>1</v>
      </c>
      <c r="K11" s="123" t="s">
        <v>92</v>
      </c>
      <c r="L11" s="24" t="str">
        <f>IF(F4="2000万円以上",IF(AND($F$3&lt;65,$F$3&gt;60,$F$2&lt;=$D$11,$F$2&gt;=$B$11),($F$2*0.75)-75000,""),"")</f>
        <v/>
      </c>
      <c r="M11" s="122" t="s">
        <v>1</v>
      </c>
      <c r="N11" s="123" t="s">
        <v>98</v>
      </c>
    </row>
    <row r="12" spans="2:14" s="19" customFormat="1" ht="30" customHeight="1" x14ac:dyDescent="0.2">
      <c r="B12" s="24">
        <v>4100000</v>
      </c>
      <c r="C12" s="26" t="s">
        <v>2</v>
      </c>
      <c r="D12" s="27">
        <v>7699999</v>
      </c>
      <c r="E12" s="121" t="s">
        <v>1</v>
      </c>
      <c r="F12" s="24" t="str">
        <f>IF(F4="1000万円以下",IF(AND($F$3&lt;65,$F$3&gt;60,$F$2&lt;=$D$12,$F$2&gt;=$B$12),($F$2*0.85)-685000,""),"")</f>
        <v/>
      </c>
      <c r="G12" s="122" t="s">
        <v>1</v>
      </c>
      <c r="H12" s="123" t="s">
        <v>83</v>
      </c>
      <c r="I12" s="24" t="str">
        <f>IF(F4="1000～2000万円",IF(AND($F$3&lt;65,$F$3&gt;60,$F$2&lt;=$D$12,$F$2&gt;=$B$12),($F$2*0.85)-585000,""),"")</f>
        <v/>
      </c>
      <c r="J12" s="122" t="s">
        <v>1</v>
      </c>
      <c r="K12" s="123" t="s">
        <v>93</v>
      </c>
      <c r="L12" s="24" t="str">
        <f>IF(F4="2000万円以上",IF(AND($F$3&lt;65,$F$3&gt;60,$F$2&lt;=$D$12,$F$2&gt;=$B$12),($F$2*0.85)-485000,""),"")</f>
        <v/>
      </c>
      <c r="M12" s="122" t="s">
        <v>1</v>
      </c>
      <c r="N12" s="123" t="s">
        <v>99</v>
      </c>
    </row>
    <row r="13" spans="2:14" s="19" customFormat="1" ht="30" customHeight="1" x14ac:dyDescent="0.2">
      <c r="B13" s="21">
        <v>7700000</v>
      </c>
      <c r="C13" s="22" t="s">
        <v>2</v>
      </c>
      <c r="D13" s="23">
        <v>9999999</v>
      </c>
      <c r="E13" s="124" t="s">
        <v>1</v>
      </c>
      <c r="F13" s="125" t="str">
        <f>IF(F4="1000万円以下",IF(AND($F$3&lt;65,$F$3&gt;60,$F$2&gt;=$B$13,$F$2&lt;=$D$13),($F$2*0.95)-1455000,""),"")</f>
        <v/>
      </c>
      <c r="G13" s="126" t="s">
        <v>1</v>
      </c>
      <c r="H13" s="127" t="s">
        <v>84</v>
      </c>
      <c r="I13" s="125" t="str">
        <f>IF(F4="1000～2000万円",IF(AND($F$3&lt;65,$F$3&gt;60,$F$2&lt;=$D$13,$F$2&gt;=$B$13),($F$2*0.95)-1355000,""),"")</f>
        <v/>
      </c>
      <c r="J13" s="126" t="s">
        <v>1</v>
      </c>
      <c r="K13" s="127" t="s">
        <v>94</v>
      </c>
      <c r="L13" s="125" t="str">
        <f>IF(F4="2000万円以上",IF(AND($F$3&lt;65,$F$3&gt;60,$F$2&gt;=$B$13,$F$2&lt;=$D$13),($F$2*0.95)-1255000,""),"")</f>
        <v/>
      </c>
      <c r="M13" s="126" t="s">
        <v>1</v>
      </c>
      <c r="N13" s="127" t="s">
        <v>100</v>
      </c>
    </row>
    <row r="14" spans="2:14" s="19" customFormat="1" ht="30" customHeight="1" thickBot="1" x14ac:dyDescent="0.25">
      <c r="B14" s="29">
        <v>10000000</v>
      </c>
      <c r="C14" s="128" t="s">
        <v>2</v>
      </c>
      <c r="D14" s="129"/>
      <c r="E14" s="130"/>
      <c r="F14" s="29" t="str">
        <f>IF(F4="1000万円以下",IF(AND($F$3&lt;65,$F$3&gt;60,$F$2&gt;=$B$14),$F$2-1955000,""),"")</f>
        <v/>
      </c>
      <c r="G14" s="131" t="s">
        <v>1</v>
      </c>
      <c r="H14" s="132" t="s">
        <v>85</v>
      </c>
      <c r="I14" s="29" t="str">
        <f>IF(F4="1000～2000万円",IF(AND($F$3&lt;65,$F$2&gt;=$B$14),$F$2-1855000,""),"")</f>
        <v/>
      </c>
      <c r="J14" s="131" t="s">
        <v>1</v>
      </c>
      <c r="K14" s="132" t="s">
        <v>95</v>
      </c>
      <c r="L14" s="29" t="str">
        <f>IF(F4="2000万円以上",IF(AND($F$3&lt;65,$F$3&gt;60,$F$2&gt;=$B$14),$F$2-1755000,""),"")</f>
        <v/>
      </c>
      <c r="M14" s="131" t="s">
        <v>1</v>
      </c>
      <c r="N14" s="132" t="s">
        <v>101</v>
      </c>
    </row>
    <row r="15" spans="2:14" s="19" customFormat="1" ht="15" customHeight="1" x14ac:dyDescent="0.2"/>
    <row r="16" spans="2:14" s="19" customFormat="1" ht="21" customHeight="1" thickBot="1" x14ac:dyDescent="0.25">
      <c r="B16" s="19" t="s">
        <v>10</v>
      </c>
    </row>
    <row r="17" spans="2:14" s="19" customFormat="1" ht="30" customHeight="1" x14ac:dyDescent="0.2">
      <c r="B17" s="230" t="s">
        <v>4</v>
      </c>
      <c r="C17" s="231"/>
      <c r="D17" s="231"/>
      <c r="E17" s="232"/>
      <c r="F17" s="236" t="s">
        <v>103</v>
      </c>
      <c r="G17" s="237"/>
      <c r="H17" s="238"/>
      <c r="I17" s="220" t="s">
        <v>104</v>
      </c>
      <c r="J17" s="221"/>
      <c r="K17" s="222"/>
      <c r="L17" s="220" t="s">
        <v>105</v>
      </c>
      <c r="M17" s="221"/>
      <c r="N17" s="222"/>
    </row>
    <row r="18" spans="2:14" s="19" customFormat="1" ht="30" customHeight="1" x14ac:dyDescent="0.2">
      <c r="B18" s="233"/>
      <c r="C18" s="234"/>
      <c r="D18" s="234"/>
      <c r="E18" s="235"/>
      <c r="F18" s="223" t="s">
        <v>9</v>
      </c>
      <c r="G18" s="224"/>
      <c r="H18" s="119" t="s">
        <v>6</v>
      </c>
      <c r="I18" s="225" t="s">
        <v>9</v>
      </c>
      <c r="J18" s="226"/>
      <c r="K18" s="120" t="s">
        <v>6</v>
      </c>
      <c r="L18" s="225" t="s">
        <v>9</v>
      </c>
      <c r="M18" s="226"/>
      <c r="N18" s="120" t="s">
        <v>6</v>
      </c>
    </row>
    <row r="19" spans="2:14" s="19" customFormat="1" ht="30" customHeight="1" x14ac:dyDescent="0.2">
      <c r="B19" s="24"/>
      <c r="C19" s="26" t="s">
        <v>2</v>
      </c>
      <c r="D19" s="27">
        <v>3299999</v>
      </c>
      <c r="E19" s="121" t="s">
        <v>1</v>
      </c>
      <c r="F19" s="21" t="str">
        <f>IF(F4="1000万円以下",IF(AND($F$3&gt;=65,$F$2&lt;=$D$19,$F$2&gt;1100000),$F$2-1100000,IF(AND($F$3&gt;=65,$F$2&lt;=1100000),0,"")),"")</f>
        <v/>
      </c>
      <c r="G19" s="28" t="s">
        <v>1</v>
      </c>
      <c r="H19" s="123" t="s">
        <v>106</v>
      </c>
      <c r="I19" s="21" t="str">
        <f>IF(F4="1000～2000万円",IF(AND($F$3&gt;=65,$F$2&lt;=$D$19,$F$2&gt;1000000),$F$2-1000000,IF(AND($F$3&gt;=65,$F$2&lt;=1000000),0,"")),"")</f>
        <v/>
      </c>
      <c r="J19" s="28" t="s">
        <v>1</v>
      </c>
      <c r="K19" s="123" t="s">
        <v>96</v>
      </c>
      <c r="L19" s="21" t="str">
        <f>IF(F4="2000万円以上",IF(AND($F$3&gt;=65,$F$2&lt;=$D$19,$F$2&gt;900000),$F$2-900000,IF(AND($F$3&gt;=65,$F$2&lt;=900000),0,"")),"")</f>
        <v/>
      </c>
      <c r="M19" s="28" t="s">
        <v>1</v>
      </c>
      <c r="N19" s="123" t="s">
        <v>102</v>
      </c>
    </row>
    <row r="20" spans="2:14" s="19" customFormat="1" ht="30" customHeight="1" x14ac:dyDescent="0.2">
      <c r="B20" s="21">
        <v>3300000</v>
      </c>
      <c r="C20" s="22" t="s">
        <v>2</v>
      </c>
      <c r="D20" s="23">
        <v>4099999</v>
      </c>
      <c r="E20" s="124" t="s">
        <v>1</v>
      </c>
      <c r="F20" s="24" t="str">
        <f>IF(F4="1000万円以下",IF(AND($F$3&gt;=65,$F$2&lt;=$D$20,$F$2&gt;=$B$20),($F$2*0.75)-275000,""),"")</f>
        <v/>
      </c>
      <c r="G20" s="25" t="s">
        <v>1</v>
      </c>
      <c r="H20" s="123" t="s">
        <v>82</v>
      </c>
      <c r="I20" s="24" t="str">
        <f>IF(F4="1000～2000万円",IF(AND($F$3&gt;=65,$F$2&lt;=$D$20,$F$2&gt;=$B$20),($F$2*0.75)-175000,""),"")</f>
        <v/>
      </c>
      <c r="J20" s="25" t="s">
        <v>1</v>
      </c>
      <c r="K20" s="123" t="s">
        <v>92</v>
      </c>
      <c r="L20" s="24" t="str">
        <f>IF(F4="2000万円以上",IF(AND($F$3&gt;=65,$F$2&lt;=$D$20,$F$2&gt;=$B$20),($F$2*0.75)-75000,""),"")</f>
        <v/>
      </c>
      <c r="M20" s="25" t="s">
        <v>1</v>
      </c>
      <c r="N20" s="123" t="s">
        <v>98</v>
      </c>
    </row>
    <row r="21" spans="2:14" s="19" customFormat="1" ht="30" customHeight="1" x14ac:dyDescent="0.2">
      <c r="B21" s="24">
        <v>4100000</v>
      </c>
      <c r="C21" s="26" t="s">
        <v>2</v>
      </c>
      <c r="D21" s="27">
        <v>7699999</v>
      </c>
      <c r="E21" s="121" t="s">
        <v>1</v>
      </c>
      <c r="F21" s="21" t="str">
        <f>IF(F4="1000万円以下",IF(AND($F$3&gt;=65,$F$2&lt;=$D$21,$F$2&gt;=$B$21),($F$2*0.85)-685000,""),"")</f>
        <v/>
      </c>
      <c r="G21" s="28" t="s">
        <v>1</v>
      </c>
      <c r="H21" s="123" t="s">
        <v>83</v>
      </c>
      <c r="I21" s="21" t="str">
        <f>IF(F4="1000～2000万円",IF(AND($F$3&gt;=65,$F$2&lt;=$D$21,$F$2&gt;=$B$21),($F$2*0.85)-585000,""),"")</f>
        <v/>
      </c>
      <c r="J21" s="28" t="s">
        <v>1</v>
      </c>
      <c r="K21" s="123" t="s">
        <v>93</v>
      </c>
      <c r="L21" s="21" t="str">
        <f>IF(F4="2000万円以上",IF(AND($F$3&gt;=65,$F$2&lt;=$D$21,$F$2&gt;=$B$21),($F$2*0.85)-485000,""),"")</f>
        <v/>
      </c>
      <c r="M21" s="28" t="s">
        <v>1</v>
      </c>
      <c r="N21" s="123" t="s">
        <v>99</v>
      </c>
    </row>
    <row r="22" spans="2:14" s="19" customFormat="1" ht="30" customHeight="1" x14ac:dyDescent="0.2">
      <c r="B22" s="21">
        <v>7700000</v>
      </c>
      <c r="C22" s="22" t="s">
        <v>2</v>
      </c>
      <c r="D22" s="23">
        <v>9999999</v>
      </c>
      <c r="E22" s="124" t="s">
        <v>1</v>
      </c>
      <c r="F22" s="125" t="str">
        <f>IF(F4="1000万円以下",IF(AND($F$3&gt;=65,$F$2&gt;=$B$22,$F$2&lt;=$D$22),($F$2*0.95)-1455000,""),"")</f>
        <v/>
      </c>
      <c r="G22" s="133" t="s">
        <v>1</v>
      </c>
      <c r="H22" s="127" t="s">
        <v>84</v>
      </c>
      <c r="I22" s="125" t="str">
        <f>IF(F4="1000～2000万円",IF(AND($F$3&gt;=65,$F$2&gt;=$B$22,$F$2&lt;=$D$22),($F$2*0.95)-1355000,""),"")</f>
        <v/>
      </c>
      <c r="J22" s="133" t="s">
        <v>1</v>
      </c>
      <c r="K22" s="127" t="s">
        <v>94</v>
      </c>
      <c r="L22" s="125" t="str">
        <f>IF(F4="2000万円以上",IF(AND($F$3&gt;=65,$F$2&gt;=$B$22,$F$2&lt;=$D$22),($F$2*0.95)-1255000,""),"")</f>
        <v/>
      </c>
      <c r="M22" s="133" t="s">
        <v>1</v>
      </c>
      <c r="N22" s="127" t="s">
        <v>100</v>
      </c>
    </row>
    <row r="23" spans="2:14" ht="32.25" customHeight="1" thickBot="1" x14ac:dyDescent="0.25">
      <c r="B23" s="29">
        <v>10000000</v>
      </c>
      <c r="C23" s="128" t="s">
        <v>2</v>
      </c>
      <c r="D23" s="30"/>
      <c r="E23" s="134" t="s">
        <v>107</v>
      </c>
      <c r="F23" s="29" t="str">
        <f>IF(F4="1000万円以下",IF(AND($F$3&gt;=65,$F$2&gt;=$B$23,$F$2&lt;&gt;""),$F$2-1955000,""),"")</f>
        <v/>
      </c>
      <c r="G23" s="30" t="s">
        <v>107</v>
      </c>
      <c r="H23" s="132" t="s">
        <v>85</v>
      </c>
      <c r="I23" s="29" t="str">
        <f>IF(F4="1000～2000万円",IF(AND($F$3&gt;=65,$F$2&gt;=$B$23,$F$2&lt;&gt;""),$F$2-1855000,""),"")</f>
        <v/>
      </c>
      <c r="J23" s="30" t="s">
        <v>107</v>
      </c>
      <c r="K23" s="132" t="s">
        <v>95</v>
      </c>
      <c r="L23" s="29" t="str">
        <f>IF(F4="2000万円以上",IF(AND($F$3&gt;=65,$F$2&gt;=$B$23,$F$2&lt;&gt;""),$F$2-1755000,""),"")</f>
        <v/>
      </c>
      <c r="M23" s="30" t="s">
        <v>107</v>
      </c>
      <c r="N23" s="132" t="s">
        <v>101</v>
      </c>
    </row>
  </sheetData>
  <sheetProtection selectLockedCells="1"/>
  <mergeCells count="18">
    <mergeCell ref="B17:E18"/>
    <mergeCell ref="F17:H17"/>
    <mergeCell ref="I17:K17"/>
    <mergeCell ref="L17:N17"/>
    <mergeCell ref="F18:G18"/>
    <mergeCell ref="I18:J18"/>
    <mergeCell ref="L18:M18"/>
    <mergeCell ref="L8:N8"/>
    <mergeCell ref="F9:G9"/>
    <mergeCell ref="I9:J9"/>
    <mergeCell ref="L9:M9"/>
    <mergeCell ref="B2:E2"/>
    <mergeCell ref="B3:E3"/>
    <mergeCell ref="B8:E9"/>
    <mergeCell ref="F8:H8"/>
    <mergeCell ref="I8:K8"/>
    <mergeCell ref="B4:E4"/>
    <mergeCell ref="B5:E5"/>
  </mergeCells>
  <phoneticPr fontId="1"/>
  <dataValidations count="1">
    <dataValidation type="list" allowBlank="1" showInputMessage="1" showErrorMessage="1" sqref="F4" xr:uid="{00000000-0002-0000-0200-000000000000}">
      <formula1>"1000万円以下,1000～2000万円,2000万円以上"</formula1>
    </dataValidation>
  </dataValidations>
  <pageMargins left="0.7" right="0.7" top="0.75" bottom="0.75" header="0.3" footer="0.3"/>
  <pageSetup paperSize="9" scale="3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W41"/>
  <sheetViews>
    <sheetView topLeftCell="A7" zoomScale="70" zoomScaleNormal="70" workbookViewId="0">
      <selection activeCell="G15" sqref="G15"/>
    </sheetView>
  </sheetViews>
  <sheetFormatPr defaultColWidth="9" defaultRowHeight="19" x14ac:dyDescent="0.2"/>
  <cols>
    <col min="1" max="1" width="21.54296875" style="70" bestFit="1" customWidth="1"/>
    <col min="2" max="2" width="16" style="70" customWidth="1"/>
    <col min="3" max="3" width="16.36328125" style="71" bestFit="1" customWidth="1"/>
    <col min="4" max="4" width="15" style="70" customWidth="1"/>
    <col min="5" max="5" width="13.08984375" style="70" customWidth="1"/>
    <col min="6" max="6" width="15.54296875" style="70" bestFit="1" customWidth="1"/>
    <col min="7" max="8" width="13.08984375" style="70" customWidth="1"/>
    <col min="9" max="9" width="4.08984375" style="81" customWidth="1"/>
    <col min="10" max="10" width="21.90625" style="70" customWidth="1"/>
    <col min="11" max="15" width="18.6328125" style="71" customWidth="1"/>
    <col min="16" max="16384" width="9" style="71"/>
  </cols>
  <sheetData>
    <row r="2" spans="1:23" ht="30" customHeight="1" x14ac:dyDescent="0.2">
      <c r="A2" s="254"/>
      <c r="B2" s="69" t="s">
        <v>22</v>
      </c>
      <c r="C2" s="69" t="s">
        <v>51</v>
      </c>
      <c r="D2" s="69" t="s">
        <v>24</v>
      </c>
      <c r="E2" s="69" t="s">
        <v>129</v>
      </c>
      <c r="F2" s="71"/>
      <c r="G2" s="71"/>
      <c r="H2" s="71"/>
      <c r="I2" s="71"/>
      <c r="J2" s="71"/>
    </row>
    <row r="3" spans="1:23" ht="30" customHeight="1" x14ac:dyDescent="0.2">
      <c r="A3" s="255" t="s">
        <v>52</v>
      </c>
      <c r="B3" s="72">
        <v>7.0000000000000007E-2</v>
      </c>
      <c r="C3" s="72">
        <v>2.5000000000000001E-2</v>
      </c>
      <c r="D3" s="72">
        <v>2.1000000000000001E-2</v>
      </c>
      <c r="E3" s="245">
        <v>2.7000000000000001E-3</v>
      </c>
      <c r="F3" s="71"/>
      <c r="G3" s="71"/>
      <c r="H3" s="73"/>
      <c r="I3" s="71"/>
      <c r="J3" s="74"/>
      <c r="L3" s="74"/>
      <c r="O3" s="74"/>
    </row>
    <row r="4" spans="1:23" ht="30" customHeight="1" x14ac:dyDescent="0.2">
      <c r="A4" s="255" t="s">
        <v>53</v>
      </c>
      <c r="B4" s="75">
        <v>26400</v>
      </c>
      <c r="C4" s="75">
        <v>9200</v>
      </c>
      <c r="D4" s="75">
        <v>9900</v>
      </c>
      <c r="E4" s="75">
        <v>1200</v>
      </c>
      <c r="F4" s="71"/>
      <c r="G4" s="71"/>
      <c r="H4" s="73"/>
      <c r="I4" s="71"/>
      <c r="J4" s="74"/>
      <c r="L4" s="74"/>
      <c r="O4" s="74"/>
      <c r="S4" s="244"/>
      <c r="T4" s="244"/>
      <c r="U4" s="244"/>
      <c r="V4" s="244"/>
      <c r="W4" s="244"/>
    </row>
    <row r="5" spans="1:23" ht="30" customHeight="1" x14ac:dyDescent="0.2">
      <c r="A5" s="255" t="s">
        <v>54</v>
      </c>
      <c r="B5" s="75">
        <v>20100</v>
      </c>
      <c r="C5" s="75">
        <v>7100</v>
      </c>
      <c r="D5" s="75">
        <v>5800</v>
      </c>
      <c r="E5" s="75">
        <v>800</v>
      </c>
      <c r="F5" s="71"/>
      <c r="G5" s="71"/>
      <c r="H5" s="73"/>
      <c r="I5" s="71"/>
      <c r="J5" s="74"/>
      <c r="L5" s="74"/>
      <c r="O5" s="74"/>
      <c r="S5" s="244"/>
      <c r="T5" s="244"/>
      <c r="U5" s="244"/>
      <c r="V5" s="244"/>
      <c r="W5" s="244"/>
    </row>
    <row r="6" spans="1:23" ht="30" customHeight="1" x14ac:dyDescent="0.2">
      <c r="A6" s="255" t="s">
        <v>137</v>
      </c>
      <c r="B6" s="246" t="s">
        <v>138</v>
      </c>
      <c r="C6" s="246" t="s">
        <v>138</v>
      </c>
      <c r="D6" s="246" t="s">
        <v>138</v>
      </c>
      <c r="E6" s="75">
        <v>100</v>
      </c>
      <c r="F6" s="71"/>
      <c r="G6" s="71"/>
      <c r="H6" s="73"/>
      <c r="I6" s="71"/>
      <c r="J6" s="180"/>
      <c r="L6" s="180"/>
      <c r="O6" s="180"/>
      <c r="S6" s="180"/>
      <c r="T6" s="180"/>
      <c r="U6" s="180"/>
      <c r="V6" s="180"/>
      <c r="W6" s="180"/>
    </row>
    <row r="7" spans="1:23" ht="30" customHeight="1" x14ac:dyDescent="0.2">
      <c r="A7" s="256" t="s">
        <v>32</v>
      </c>
      <c r="B7" s="76">
        <v>670000</v>
      </c>
      <c r="C7" s="76">
        <v>260000</v>
      </c>
      <c r="D7" s="76">
        <v>170000</v>
      </c>
      <c r="E7" s="76">
        <v>30000</v>
      </c>
      <c r="F7" s="71"/>
      <c r="G7" s="71"/>
      <c r="H7" s="73"/>
      <c r="I7" s="71"/>
      <c r="J7" s="74"/>
      <c r="L7" s="74"/>
      <c r="O7" s="74"/>
    </row>
    <row r="8" spans="1:23" x14ac:dyDescent="0.2">
      <c r="A8" s="77"/>
      <c r="B8" s="78"/>
      <c r="C8" s="78"/>
      <c r="D8" s="78"/>
      <c r="F8" s="71"/>
      <c r="G8" s="71"/>
      <c r="H8" s="73"/>
      <c r="I8" s="71"/>
      <c r="J8" s="74"/>
      <c r="L8" s="74"/>
      <c r="O8" s="74"/>
    </row>
    <row r="9" spans="1:23" ht="22.5" x14ac:dyDescent="0.2">
      <c r="A9" s="79" t="s">
        <v>55</v>
      </c>
      <c r="B9" s="80"/>
    </row>
    <row r="10" spans="1:23" ht="22.5" x14ac:dyDescent="0.2">
      <c r="A10" s="82" t="s">
        <v>56</v>
      </c>
      <c r="B10" s="83"/>
      <c r="J10" s="84" t="s">
        <v>71</v>
      </c>
      <c r="K10" s="94"/>
      <c r="L10" s="95"/>
      <c r="M10" s="94"/>
      <c r="N10" s="94"/>
      <c r="O10" s="94"/>
    </row>
    <row r="11" spans="1:23" ht="36" customHeight="1" x14ac:dyDescent="0.2">
      <c r="A11" s="239" t="s">
        <v>57</v>
      </c>
      <c r="B11" s="240" t="s">
        <v>58</v>
      </c>
      <c r="C11" s="241" t="s">
        <v>59</v>
      </c>
      <c r="D11" s="240" t="s">
        <v>60</v>
      </c>
      <c r="E11" s="240"/>
      <c r="F11" s="240"/>
      <c r="G11" s="240"/>
      <c r="H11" s="240"/>
      <c r="I11" s="85"/>
      <c r="J11" s="239" t="s">
        <v>65</v>
      </c>
      <c r="K11" s="240" t="s">
        <v>60</v>
      </c>
      <c r="L11" s="240"/>
      <c r="M11" s="240"/>
      <c r="N11" s="240"/>
      <c r="O11" s="240"/>
    </row>
    <row r="12" spans="1:23" ht="36" customHeight="1" x14ac:dyDescent="0.2">
      <c r="A12" s="239"/>
      <c r="B12" s="240"/>
      <c r="C12" s="241"/>
      <c r="D12" s="86" t="s">
        <v>61</v>
      </c>
      <c r="E12" s="86" t="s">
        <v>62</v>
      </c>
      <c r="F12" s="87" t="s">
        <v>63</v>
      </c>
      <c r="G12" s="69" t="s">
        <v>129</v>
      </c>
      <c r="H12" s="86" t="s">
        <v>64</v>
      </c>
      <c r="I12" s="85"/>
      <c r="J12" s="239"/>
      <c r="K12" s="86" t="s">
        <v>61</v>
      </c>
      <c r="L12" s="86" t="s">
        <v>62</v>
      </c>
      <c r="M12" s="87" t="s">
        <v>63</v>
      </c>
      <c r="N12" s="69" t="s">
        <v>129</v>
      </c>
      <c r="O12" s="86" t="s">
        <v>64</v>
      </c>
    </row>
    <row r="13" spans="1:23" ht="37.5" customHeight="1" x14ac:dyDescent="0.2">
      <c r="A13" s="88">
        <v>0</v>
      </c>
      <c r="B13" s="88">
        <v>0</v>
      </c>
      <c r="C13" s="89">
        <v>0</v>
      </c>
      <c r="D13" s="88">
        <f>IF(C13*$B$3&gt;=$B$7,$B$7,C13*$B$3)</f>
        <v>0</v>
      </c>
      <c r="E13" s="88">
        <f>IF(C13*$C$3&gt;=$C$7,$C$7,C13*$C$3)</f>
        <v>0</v>
      </c>
      <c r="F13" s="88">
        <f>IF(C13*$D$3&gt;=$D$7,$D$7,C13*$D$3)</f>
        <v>0</v>
      </c>
      <c r="G13" s="88">
        <v>0</v>
      </c>
      <c r="H13" s="88">
        <f t="shared" ref="H13:H16" si="0">SUM(D13:F13)</f>
        <v>0</v>
      </c>
      <c r="I13" s="90"/>
      <c r="J13" s="88">
        <v>1</v>
      </c>
      <c r="K13" s="88">
        <f>J13*$B$4</f>
        <v>26400</v>
      </c>
      <c r="L13" s="88">
        <f>J13*$C$4</f>
        <v>9200</v>
      </c>
      <c r="M13" s="88">
        <f>J13*$D$4</f>
        <v>9900</v>
      </c>
      <c r="N13" s="88">
        <f>J13*$E$4</f>
        <v>1200</v>
      </c>
      <c r="O13" s="88">
        <f>SUM(K13:N13)</f>
        <v>46700</v>
      </c>
    </row>
    <row r="14" spans="1:23" ht="37.5" customHeight="1" x14ac:dyDescent="0.2">
      <c r="A14" s="91">
        <v>500000</v>
      </c>
      <c r="B14" s="92">
        <v>0</v>
      </c>
      <c r="C14" s="93">
        <v>0</v>
      </c>
      <c r="D14" s="92">
        <f>IF(C14*$B$3&gt;=$B$7,$B$7,C14*$B$3)</f>
        <v>0</v>
      </c>
      <c r="E14" s="92">
        <f>IF(C14*$C$3&gt;=$C$7,$C$7,C14*$C$3)</f>
        <v>0</v>
      </c>
      <c r="F14" s="92">
        <f>IF(C14*$D$3&gt;=$D$7,$D$7,C14*$D$3)</f>
        <v>0</v>
      </c>
      <c r="G14" s="92">
        <v>0</v>
      </c>
      <c r="H14" s="92">
        <f t="shared" si="0"/>
        <v>0</v>
      </c>
      <c r="I14" s="90"/>
      <c r="J14" s="91">
        <v>2</v>
      </c>
      <c r="K14" s="92">
        <f t="shared" ref="K14:K16" si="1">J14*$B$4</f>
        <v>52800</v>
      </c>
      <c r="L14" s="92">
        <f t="shared" ref="L14:L16" si="2">J14*$C$4</f>
        <v>18400</v>
      </c>
      <c r="M14" s="92">
        <f t="shared" ref="M14:M16" si="3">J14*$D$4</f>
        <v>19800</v>
      </c>
      <c r="N14" s="92">
        <f t="shared" ref="N14:N16" si="4">J14*$E$4</f>
        <v>2400</v>
      </c>
      <c r="O14" s="92">
        <f>SUM(K14:N14)</f>
        <v>93400</v>
      </c>
    </row>
    <row r="15" spans="1:23" ht="37.5" customHeight="1" x14ac:dyDescent="0.2">
      <c r="A15" s="88">
        <v>1000000</v>
      </c>
      <c r="B15" s="88">
        <v>350000</v>
      </c>
      <c r="C15" s="88">
        <v>0</v>
      </c>
      <c r="D15" s="88">
        <f>IF(C15*$B$3&gt;=$B$7,$B$7,C15*$B$3)</f>
        <v>0</v>
      </c>
      <c r="E15" s="88">
        <f>IF(C15*$C$3&gt;=$C$7,$C$7,C15*$C$3)</f>
        <v>0</v>
      </c>
      <c r="F15" s="88">
        <f>IF(C15*$D$3&gt;=$D$7,$D$7,C15*$D$3)</f>
        <v>0</v>
      </c>
      <c r="G15" s="88">
        <f>IF(D15*$D$3&gt;=$E$7,$E$7,D15*$D$3)</f>
        <v>0</v>
      </c>
      <c r="H15" s="88">
        <f>SUM(D15:G15)</f>
        <v>0</v>
      </c>
      <c r="I15" s="90"/>
      <c r="J15" s="88">
        <v>3</v>
      </c>
      <c r="K15" s="88">
        <f t="shared" si="1"/>
        <v>79200</v>
      </c>
      <c r="L15" s="88">
        <f t="shared" si="2"/>
        <v>27600</v>
      </c>
      <c r="M15" s="88">
        <f t="shared" si="3"/>
        <v>29700</v>
      </c>
      <c r="N15" s="88">
        <f t="shared" si="4"/>
        <v>3600</v>
      </c>
      <c r="O15" s="88">
        <f t="shared" ref="O15:O19" si="5">SUM(K15:N15)</f>
        <v>140100</v>
      </c>
    </row>
    <row r="16" spans="1:23" ht="37.5" customHeight="1" x14ac:dyDescent="0.2">
      <c r="A16" s="91">
        <v>1500000</v>
      </c>
      <c r="B16" s="92">
        <v>950000</v>
      </c>
      <c r="C16" s="92">
        <f>B16-430000</f>
        <v>520000</v>
      </c>
      <c r="D16" s="92">
        <f>IF(C16*$B$3&gt;=$B$7,$B$7,C16*$B$3)</f>
        <v>36400</v>
      </c>
      <c r="E16" s="92">
        <f>IF(C16*$C$3&gt;=$C$7,$C$7,C16*$C$3)</f>
        <v>13000</v>
      </c>
      <c r="F16" s="92">
        <f>IF(C16*$D$3&gt;=$D$7,$D$7,C16*$D$3)</f>
        <v>10920</v>
      </c>
      <c r="G16" s="92">
        <f t="shared" ref="G16:G32" si="6">IF(D16*$D$3&gt;=$E$7,$E$7,D16*$D$3)</f>
        <v>764.40000000000009</v>
      </c>
      <c r="H16" s="92">
        <f t="shared" ref="H16:H31" si="7">SUM(D16:G16)</f>
        <v>61084.4</v>
      </c>
      <c r="I16" s="90"/>
      <c r="J16" s="91">
        <v>4</v>
      </c>
      <c r="K16" s="92">
        <f t="shared" si="1"/>
        <v>105600</v>
      </c>
      <c r="L16" s="92">
        <f t="shared" si="2"/>
        <v>36800</v>
      </c>
      <c r="M16" s="92">
        <f t="shared" si="3"/>
        <v>39600</v>
      </c>
      <c r="N16" s="92">
        <f t="shared" si="4"/>
        <v>4800</v>
      </c>
      <c r="O16" s="92">
        <f>SUM(K16:N16)</f>
        <v>186800</v>
      </c>
    </row>
    <row r="17" spans="1:15" ht="37.5" customHeight="1" x14ac:dyDescent="0.2">
      <c r="A17" s="88">
        <v>2000000</v>
      </c>
      <c r="B17" s="88">
        <v>1320000</v>
      </c>
      <c r="C17" s="88">
        <f t="shared" ref="C16:C32" si="8">B17-430000</f>
        <v>890000</v>
      </c>
      <c r="D17" s="88">
        <f>IF(C17*$B$3&gt;=$B$7,$B$7,C17*$B$3)</f>
        <v>62300.000000000007</v>
      </c>
      <c r="E17" s="88">
        <f>IF(C17*$C$3&gt;=$C$7,$C$7,C17*$C$3)</f>
        <v>22250</v>
      </c>
      <c r="F17" s="88">
        <f>IF(C17*$D$3&gt;=$D$7,$D$7,C17*$D$3)</f>
        <v>18690</v>
      </c>
      <c r="G17" s="88">
        <f t="shared" si="6"/>
        <v>1308.3000000000002</v>
      </c>
      <c r="H17" s="88">
        <f t="shared" si="7"/>
        <v>104548.3</v>
      </c>
      <c r="I17" s="90"/>
      <c r="J17" s="98" t="s">
        <v>67</v>
      </c>
      <c r="K17" s="88">
        <f>ROUNDDOWN(K13*0.3,-2)</f>
        <v>7900</v>
      </c>
      <c r="L17" s="88">
        <f>ROUNDDOWN(L13*0.3,-2)</f>
        <v>2700</v>
      </c>
      <c r="M17" s="88">
        <f>ROUNDDOWN(M13*0.3,-2)</f>
        <v>2900</v>
      </c>
      <c r="N17" s="88">
        <f>ROUNDDOWN(N13*0.3,-2)</f>
        <v>300</v>
      </c>
      <c r="O17" s="88">
        <f t="shared" si="5"/>
        <v>13800</v>
      </c>
    </row>
    <row r="18" spans="1:15" ht="37.5" customHeight="1" x14ac:dyDescent="0.2">
      <c r="A18" s="91">
        <v>2500000</v>
      </c>
      <c r="B18" s="92">
        <v>1670000</v>
      </c>
      <c r="C18" s="92">
        <f t="shared" si="8"/>
        <v>1240000</v>
      </c>
      <c r="D18" s="92">
        <f>IF(C18*$B$3&gt;=$B$7,$B$7,C18*$B$3)</f>
        <v>86800.000000000015</v>
      </c>
      <c r="E18" s="92">
        <f>IF(C18*$C$3&gt;=$C$7,$C$7,C18*$C$3)</f>
        <v>31000</v>
      </c>
      <c r="F18" s="92">
        <f>IF(C18*$D$3&gt;=$D$7,$D$7,C18*$D$3)</f>
        <v>26040</v>
      </c>
      <c r="G18" s="92">
        <f t="shared" si="6"/>
        <v>1822.8000000000004</v>
      </c>
      <c r="H18" s="92">
        <f t="shared" si="7"/>
        <v>145662.79999999999</v>
      </c>
      <c r="I18" s="90"/>
      <c r="J18" s="99" t="s">
        <v>68</v>
      </c>
      <c r="K18" s="92">
        <f>ROUNDDOWN(K13*0.5,-2)</f>
        <v>13200</v>
      </c>
      <c r="L18" s="92">
        <f t="shared" ref="L18" si="9">ROUNDDOWN(L13*0.5,-2)</f>
        <v>4600</v>
      </c>
      <c r="M18" s="92">
        <f>ROUNDDOWN(M13*0.5,-2)</f>
        <v>4900</v>
      </c>
      <c r="N18" s="92">
        <f>ROUNDDOWN(N13*0.5,-2)</f>
        <v>600</v>
      </c>
      <c r="O18" s="92">
        <f>SUM(K18:N18)</f>
        <v>23300</v>
      </c>
    </row>
    <row r="19" spans="1:15" ht="37.5" customHeight="1" x14ac:dyDescent="0.2">
      <c r="A19" s="88">
        <v>3000000</v>
      </c>
      <c r="B19" s="88">
        <v>2020000</v>
      </c>
      <c r="C19" s="88">
        <f t="shared" si="8"/>
        <v>1590000</v>
      </c>
      <c r="D19" s="88">
        <f>IF(C19*$B$3&gt;=$B$7,$B$7,C19*$B$3)</f>
        <v>111300.00000000001</v>
      </c>
      <c r="E19" s="88">
        <f>IF(C19*$C$3&gt;=$C$7,$C$7,C19*$C$3)</f>
        <v>39750</v>
      </c>
      <c r="F19" s="88">
        <f>IF(C19*$D$3&gt;=$D$7,$D$7,C19*$D$3)</f>
        <v>33390</v>
      </c>
      <c r="G19" s="88">
        <f t="shared" si="6"/>
        <v>2337.3000000000006</v>
      </c>
      <c r="H19" s="88">
        <f t="shared" si="7"/>
        <v>186777.3</v>
      </c>
      <c r="I19" s="90"/>
      <c r="J19" s="98" t="s">
        <v>69</v>
      </c>
      <c r="K19" s="88">
        <f>ROUNDDOWN(K13*0.8,-2)</f>
        <v>21100</v>
      </c>
      <c r="L19" s="88">
        <f t="shared" ref="L19" si="10">ROUNDDOWN(L13*0.8,-2)</f>
        <v>7300</v>
      </c>
      <c r="M19" s="88">
        <f>ROUNDDOWN(M13*0.8,-2)</f>
        <v>7900</v>
      </c>
      <c r="N19" s="88">
        <f>ROUNDDOWN(N13*0.8,-2)</f>
        <v>900</v>
      </c>
      <c r="O19" s="88">
        <f t="shared" si="5"/>
        <v>37200</v>
      </c>
    </row>
    <row r="20" spans="1:15" ht="37.5" customHeight="1" x14ac:dyDescent="0.2">
      <c r="A20" s="91">
        <v>3500000</v>
      </c>
      <c r="B20" s="92">
        <v>2370000</v>
      </c>
      <c r="C20" s="92">
        <f t="shared" si="8"/>
        <v>1940000</v>
      </c>
      <c r="D20" s="92">
        <f>IF(C20*$B$3&gt;=$B$7,$B$7,C20*$B$3)</f>
        <v>135800</v>
      </c>
      <c r="E20" s="92">
        <f>IF(C20*$C$3&gt;=$C$7,$C$7,C20*$C$3)</f>
        <v>48500</v>
      </c>
      <c r="F20" s="92">
        <f>IF(C20*$D$3&gt;=$D$7,$D$7,C20*$D$3)</f>
        <v>40740</v>
      </c>
      <c r="G20" s="92">
        <f t="shared" si="6"/>
        <v>2851.8</v>
      </c>
      <c r="H20" s="92">
        <f t="shared" si="7"/>
        <v>227891.8</v>
      </c>
      <c r="I20" s="90"/>
      <c r="J20" s="71"/>
    </row>
    <row r="21" spans="1:15" ht="37.5" customHeight="1" x14ac:dyDescent="0.2">
      <c r="A21" s="88">
        <v>4000000</v>
      </c>
      <c r="B21" s="88">
        <v>2760000</v>
      </c>
      <c r="C21" s="88">
        <f t="shared" si="8"/>
        <v>2330000</v>
      </c>
      <c r="D21" s="88">
        <f>IF(C21*$B$3&gt;=$B$7,$B$7,C21*$B$3)</f>
        <v>163100.00000000003</v>
      </c>
      <c r="E21" s="88">
        <f>IF(C21*$C$3&gt;=$C$7,$C$7,C21*$C$3)</f>
        <v>58250</v>
      </c>
      <c r="F21" s="88">
        <f>IF(C21*$D$3&gt;=$D$7,$D$7,C21*$D$3)</f>
        <v>48930</v>
      </c>
      <c r="G21" s="88">
        <f t="shared" si="6"/>
        <v>3425.1000000000008</v>
      </c>
      <c r="H21" s="88">
        <f t="shared" si="7"/>
        <v>273705.09999999998</v>
      </c>
      <c r="I21" s="90"/>
      <c r="J21" s="97" t="s">
        <v>72</v>
      </c>
      <c r="K21" s="95"/>
      <c r="L21" s="95"/>
      <c r="M21" s="95"/>
      <c r="N21" s="95"/>
      <c r="O21" s="95"/>
    </row>
    <row r="22" spans="1:15" ht="37.5" customHeight="1" x14ac:dyDescent="0.2">
      <c r="A22" s="91">
        <v>4500000</v>
      </c>
      <c r="B22" s="92">
        <v>3160000</v>
      </c>
      <c r="C22" s="92">
        <f t="shared" si="8"/>
        <v>2730000</v>
      </c>
      <c r="D22" s="92">
        <f>IF(C22*$B$3&gt;=$B$7,$B$7,C22*$B$3)</f>
        <v>191100.00000000003</v>
      </c>
      <c r="E22" s="92">
        <f>IF(C22*$C$3&gt;=$C$7,$C$7,C22*$C$3)</f>
        <v>68250</v>
      </c>
      <c r="F22" s="92">
        <f>IF(C22*$D$3&gt;=$D$7,$D$7,C22*$D$3)</f>
        <v>57330</v>
      </c>
      <c r="G22" s="92">
        <f t="shared" si="6"/>
        <v>4013.1000000000008</v>
      </c>
      <c r="H22" s="92">
        <f t="shared" si="7"/>
        <v>320693.09999999998</v>
      </c>
      <c r="I22" s="90"/>
      <c r="J22" s="242"/>
      <c r="K22" s="240" t="s">
        <v>60</v>
      </c>
      <c r="L22" s="240"/>
      <c r="M22" s="240"/>
      <c r="N22" s="240"/>
      <c r="O22" s="240"/>
    </row>
    <row r="23" spans="1:15" ht="37.5" customHeight="1" x14ac:dyDescent="0.2">
      <c r="A23" s="88">
        <v>5000000</v>
      </c>
      <c r="B23" s="88">
        <v>3560000</v>
      </c>
      <c r="C23" s="88">
        <f t="shared" si="8"/>
        <v>3130000</v>
      </c>
      <c r="D23" s="88">
        <f>IF(C23*$B$3&gt;=$B$7,$B$7,C23*$B$3)</f>
        <v>219100.00000000003</v>
      </c>
      <c r="E23" s="88">
        <f>IF(C23*$C$3&gt;=$C$7,$C$7,C23*$C$3)</f>
        <v>78250</v>
      </c>
      <c r="F23" s="88">
        <f>IF(C23*$D$3&gt;=$D$7,$D$7,C23*$D$3)</f>
        <v>65730</v>
      </c>
      <c r="G23" s="88">
        <f t="shared" si="6"/>
        <v>4601.1000000000013</v>
      </c>
      <c r="H23" s="88">
        <f t="shared" si="7"/>
        <v>367681.1</v>
      </c>
      <c r="I23" s="90"/>
      <c r="J23" s="243"/>
      <c r="K23" s="86" t="s">
        <v>61</v>
      </c>
      <c r="L23" s="86" t="s">
        <v>62</v>
      </c>
      <c r="M23" s="87" t="s">
        <v>63</v>
      </c>
      <c r="N23" s="69" t="s">
        <v>129</v>
      </c>
      <c r="O23" s="86" t="s">
        <v>64</v>
      </c>
    </row>
    <row r="24" spans="1:15" ht="37.5" customHeight="1" x14ac:dyDescent="0.2">
      <c r="A24" s="91">
        <v>5500000</v>
      </c>
      <c r="B24" s="92">
        <v>3960000</v>
      </c>
      <c r="C24" s="92">
        <f t="shared" si="8"/>
        <v>3530000</v>
      </c>
      <c r="D24" s="92">
        <f>IF(C24*$B$3&gt;=$B$7,$B$7,C24*$B$3)</f>
        <v>247100.00000000003</v>
      </c>
      <c r="E24" s="92">
        <f>IF(C24*$C$3&gt;=$C$7,$C$7,C24*$C$3)</f>
        <v>88250</v>
      </c>
      <c r="F24" s="92">
        <f>IF(C24*$D$3&gt;=$D$7,$D$7,C24*$D$3)</f>
        <v>74130</v>
      </c>
      <c r="G24" s="92">
        <f t="shared" si="6"/>
        <v>5189.1000000000013</v>
      </c>
      <c r="H24" s="92">
        <f t="shared" si="7"/>
        <v>414669.1</v>
      </c>
      <c r="I24" s="90"/>
      <c r="J24" s="88" t="s">
        <v>66</v>
      </c>
      <c r="K24" s="88">
        <f>B5</f>
        <v>20100</v>
      </c>
      <c r="L24" s="88">
        <f>C5</f>
        <v>7100</v>
      </c>
      <c r="M24" s="88">
        <f>D5</f>
        <v>5800</v>
      </c>
      <c r="N24" s="88">
        <f>E5</f>
        <v>800</v>
      </c>
      <c r="O24" s="88">
        <f>SUM(K24:N24)</f>
        <v>33800</v>
      </c>
    </row>
    <row r="25" spans="1:15" ht="37.5" customHeight="1" x14ac:dyDescent="0.2">
      <c r="A25" s="88">
        <v>6000000</v>
      </c>
      <c r="B25" s="88">
        <v>4360000</v>
      </c>
      <c r="C25" s="88">
        <f t="shared" si="8"/>
        <v>3930000</v>
      </c>
      <c r="D25" s="88">
        <f>IF(C25*$B$3&gt;=$B$7,$B$7,C25*$B$3)</f>
        <v>275100</v>
      </c>
      <c r="E25" s="88">
        <f>IF(C25*$C$3&gt;=$C$7,$C$7,C25*$C$3)</f>
        <v>98250</v>
      </c>
      <c r="F25" s="88">
        <f>IF(C25*$D$3&gt;=$D$7,$D$7,C25*$D$3)</f>
        <v>82530</v>
      </c>
      <c r="G25" s="88">
        <f t="shared" si="6"/>
        <v>5777.1</v>
      </c>
      <c r="H25" s="88">
        <f t="shared" si="7"/>
        <v>461657.1</v>
      </c>
      <c r="I25" s="90"/>
      <c r="J25" s="92" t="s">
        <v>67</v>
      </c>
      <c r="K25" s="92">
        <f>ROUNDDOWN(K24*0.3,-2)</f>
        <v>6000</v>
      </c>
      <c r="L25" s="92">
        <f t="shared" ref="L25" si="11">ROUNDDOWN(L24*0.3,-2)</f>
        <v>2100</v>
      </c>
      <c r="M25" s="92">
        <f>ROUNDDOWN(M24*0.3,-2)</f>
        <v>1700</v>
      </c>
      <c r="N25" s="92">
        <f>ROUNDDOWN(N24*0.3,-2)</f>
        <v>200</v>
      </c>
      <c r="O25" s="92">
        <f>SUM(K25:N25)</f>
        <v>10000</v>
      </c>
    </row>
    <row r="26" spans="1:15" ht="37.5" customHeight="1" x14ac:dyDescent="0.2">
      <c r="A26" s="91">
        <v>6500000</v>
      </c>
      <c r="B26" s="92">
        <v>4760000</v>
      </c>
      <c r="C26" s="92">
        <f t="shared" si="8"/>
        <v>4330000</v>
      </c>
      <c r="D26" s="92">
        <f>IF(C26*$B$3&gt;=$B$7,$B$7,C26*$B$3)</f>
        <v>303100</v>
      </c>
      <c r="E26" s="92">
        <f>IF(C26*$C$3&gt;=$C$7,$C$7,C26*$C$3)</f>
        <v>108250</v>
      </c>
      <c r="F26" s="92">
        <f>IF(C26*$D$3&gt;=$D$7,$D$7,C26*$D$3)</f>
        <v>90930</v>
      </c>
      <c r="G26" s="92">
        <f t="shared" si="6"/>
        <v>6365.1</v>
      </c>
      <c r="H26" s="92">
        <f t="shared" si="7"/>
        <v>508645.1</v>
      </c>
      <c r="I26" s="90"/>
      <c r="J26" s="92" t="s">
        <v>68</v>
      </c>
      <c r="K26" s="92">
        <f>ROUNDDOWN(K24*0.5,-2)</f>
        <v>10000</v>
      </c>
      <c r="L26" s="92">
        <f t="shared" ref="L26" si="12">ROUNDDOWN(L24*0.5,-2)</f>
        <v>3500</v>
      </c>
      <c r="M26" s="92">
        <f>ROUNDDOWN(M24*0.5,-2)</f>
        <v>2900</v>
      </c>
      <c r="N26" s="92">
        <f>ROUNDDOWN(N24*0.5,-2)</f>
        <v>400</v>
      </c>
      <c r="O26" s="92">
        <f t="shared" ref="O26:O27" si="13">SUM(K26:N26)</f>
        <v>16800</v>
      </c>
    </row>
    <row r="27" spans="1:15" ht="37.5" customHeight="1" x14ac:dyDescent="0.2">
      <c r="A27" s="88">
        <v>7000000</v>
      </c>
      <c r="B27" s="88">
        <v>5200000</v>
      </c>
      <c r="C27" s="88">
        <f t="shared" si="8"/>
        <v>4770000</v>
      </c>
      <c r="D27" s="88">
        <f>IF(C27*$B$3&gt;=$B$7,$B$7,C27*$B$3)</f>
        <v>333900.00000000006</v>
      </c>
      <c r="E27" s="88">
        <f>IF(C27*$C$3&gt;=$C$7,$C$7,C27*$C$3)</f>
        <v>119250</v>
      </c>
      <c r="F27" s="88">
        <f>IF(C27*$D$3&gt;=$D$7,$D$7,C27*$D$3)</f>
        <v>100170</v>
      </c>
      <c r="G27" s="88">
        <f t="shared" si="6"/>
        <v>7011.9000000000015</v>
      </c>
      <c r="H27" s="88">
        <f t="shared" si="7"/>
        <v>560331.9</v>
      </c>
      <c r="I27" s="90"/>
      <c r="J27" s="92" t="s">
        <v>69</v>
      </c>
      <c r="K27" s="92">
        <f>ROUNDDOWN(K24*0.8,-2)</f>
        <v>16000</v>
      </c>
      <c r="L27" s="92">
        <f t="shared" ref="L27:N27" si="14">ROUNDDOWN(L24*0.8,-2)</f>
        <v>5600</v>
      </c>
      <c r="M27" s="92">
        <f t="shared" si="14"/>
        <v>4600</v>
      </c>
      <c r="N27" s="92">
        <f t="shared" si="14"/>
        <v>600</v>
      </c>
      <c r="O27" s="92">
        <f t="shared" si="13"/>
        <v>26800</v>
      </c>
    </row>
    <row r="28" spans="1:15" ht="37.5" customHeight="1" x14ac:dyDescent="0.2">
      <c r="A28" s="91">
        <v>7500000</v>
      </c>
      <c r="B28" s="92">
        <v>5650000</v>
      </c>
      <c r="C28" s="92">
        <f t="shared" si="8"/>
        <v>5220000</v>
      </c>
      <c r="D28" s="92">
        <f>IF(C28*$B$3&gt;=$B$7,$B$7,C28*$B$3)</f>
        <v>365400.00000000006</v>
      </c>
      <c r="E28" s="92">
        <f>IF(C28*$C$3&gt;=$C$7,$C$7,C28*$C$3)</f>
        <v>130500</v>
      </c>
      <c r="F28" s="92">
        <f>IF(C28*$D$3&gt;=$D$7,$D$7,C28*$D$3)</f>
        <v>109620</v>
      </c>
      <c r="G28" s="92">
        <f t="shared" si="6"/>
        <v>7673.4000000000015</v>
      </c>
      <c r="H28" s="92">
        <f t="shared" si="7"/>
        <v>613193.4</v>
      </c>
      <c r="I28" s="90"/>
      <c r="J28" s="71"/>
    </row>
    <row r="29" spans="1:15" ht="37.5" customHeight="1" x14ac:dyDescent="0.2">
      <c r="A29" s="88">
        <v>8000000</v>
      </c>
      <c r="B29" s="88">
        <v>6100000</v>
      </c>
      <c r="C29" s="88">
        <f t="shared" si="8"/>
        <v>5670000</v>
      </c>
      <c r="D29" s="88">
        <f>IF(C29*$B$3&gt;=$B$7,$B$7,C29*$B$3)</f>
        <v>396900.00000000006</v>
      </c>
      <c r="E29" s="88">
        <f>IF(C29*$C$3&gt;=$C$7,$C$7,C29*$C$3)</f>
        <v>141750</v>
      </c>
      <c r="F29" s="88">
        <f>IF(C29*$D$3&gt;=$D$7,$D$7,C29*$D$3)</f>
        <v>119070.00000000001</v>
      </c>
      <c r="G29" s="88">
        <f t="shared" si="6"/>
        <v>8334.9000000000015</v>
      </c>
      <c r="H29" s="88">
        <f t="shared" si="7"/>
        <v>666054.9</v>
      </c>
      <c r="I29" s="90"/>
      <c r="J29" s="84" t="s">
        <v>139</v>
      </c>
      <c r="K29" s="94"/>
      <c r="L29" s="95"/>
      <c r="M29" s="94"/>
      <c r="N29" s="94"/>
      <c r="O29" s="94"/>
    </row>
    <row r="30" spans="1:15" ht="37.5" customHeight="1" x14ac:dyDescent="0.2">
      <c r="A30" s="91">
        <v>8500000</v>
      </c>
      <c r="B30" s="92">
        <v>6550000</v>
      </c>
      <c r="C30" s="92">
        <f t="shared" si="8"/>
        <v>6120000</v>
      </c>
      <c r="D30" s="92">
        <f>IF(C30*$B$3&gt;=$B$7,$B$7,C30*$B$3)</f>
        <v>428400.00000000006</v>
      </c>
      <c r="E30" s="92">
        <f>IF(C30*$C$3&gt;=$C$7,$C$7,C30*$C$3)</f>
        <v>153000</v>
      </c>
      <c r="F30" s="92">
        <f>IF(C30*$D$3&gt;=$D$7,$D$7,C30*$D$3)</f>
        <v>128520.00000000001</v>
      </c>
      <c r="G30" s="92">
        <f t="shared" si="6"/>
        <v>8996.4000000000015</v>
      </c>
      <c r="H30" s="92">
        <f t="shared" si="7"/>
        <v>718916.4</v>
      </c>
      <c r="I30" s="90"/>
      <c r="J30" s="253" t="s">
        <v>140</v>
      </c>
      <c r="K30" s="251" t="s">
        <v>60</v>
      </c>
      <c r="L30" s="252"/>
      <c r="M30" s="252"/>
      <c r="N30" s="252"/>
      <c r="O30" s="252"/>
    </row>
    <row r="31" spans="1:15" ht="37.5" customHeight="1" x14ac:dyDescent="0.2">
      <c r="A31" s="88">
        <v>9000000</v>
      </c>
      <c r="B31" s="88">
        <v>7050000</v>
      </c>
      <c r="C31" s="88">
        <f t="shared" si="8"/>
        <v>6620000</v>
      </c>
      <c r="D31" s="88">
        <f>IF(C31*$B$3&gt;=$B$7,$B$7,C31*$B$3)</f>
        <v>463400.00000000006</v>
      </c>
      <c r="E31" s="88">
        <f>IF(C31*$C$3&gt;=$C$7,$C$7,C31*$C$3)</f>
        <v>165500</v>
      </c>
      <c r="F31" s="88">
        <f>IF(C31*$D$3&gt;=$D$7,$D$7,C31*$D$3)</f>
        <v>139020</v>
      </c>
      <c r="G31" s="88">
        <f t="shared" si="6"/>
        <v>9731.4000000000015</v>
      </c>
      <c r="H31" s="88">
        <f t="shared" si="7"/>
        <v>777651.4</v>
      </c>
      <c r="I31" s="90"/>
      <c r="J31" s="239"/>
      <c r="K31" s="69" t="s">
        <v>129</v>
      </c>
      <c r="L31" s="247"/>
      <c r="M31" s="248"/>
      <c r="N31" s="249"/>
      <c r="O31" s="247"/>
    </row>
    <row r="32" spans="1:15" ht="37.5" customHeight="1" x14ac:dyDescent="0.2">
      <c r="A32" s="91">
        <v>9500000</v>
      </c>
      <c r="B32" s="92">
        <v>7550000</v>
      </c>
      <c r="C32" s="92">
        <f t="shared" si="8"/>
        <v>7120000</v>
      </c>
      <c r="D32" s="92">
        <f>IF(C32*$B$3&gt;=$B$7,$B$7,C32*$B$3)</f>
        <v>498400.00000000006</v>
      </c>
      <c r="E32" s="92">
        <f>IF(C32*$C$3&gt;=$C$7,$C$7,C32*$C$3)</f>
        <v>178000</v>
      </c>
      <c r="F32" s="92">
        <f>IF(C32*$D$3&gt;=$D$7,$D$7,C32*$D$3)</f>
        <v>149520</v>
      </c>
      <c r="G32" s="92">
        <f t="shared" si="6"/>
        <v>10466.400000000001</v>
      </c>
      <c r="H32" s="92">
        <f>SUM(D32:G32)</f>
        <v>836386.4</v>
      </c>
      <c r="I32" s="90"/>
      <c r="J32" s="88">
        <v>1</v>
      </c>
      <c r="K32" s="88">
        <f>J32*$E$6</f>
        <v>100</v>
      </c>
      <c r="L32" s="250"/>
      <c r="M32" s="250"/>
      <c r="N32" s="249"/>
      <c r="O32" s="250"/>
    </row>
    <row r="33" spans="1:15" ht="37.5" customHeight="1" x14ac:dyDescent="0.2">
      <c r="B33" s="94"/>
      <c r="C33" s="95"/>
      <c r="D33" s="94"/>
      <c r="E33" s="94"/>
      <c r="F33" s="94"/>
      <c r="G33" s="94"/>
      <c r="H33" s="94"/>
      <c r="I33" s="96"/>
      <c r="J33" s="91">
        <v>2</v>
      </c>
      <c r="K33" s="92">
        <f t="shared" ref="K33:K35" si="15">J33*$E$6</f>
        <v>200</v>
      </c>
      <c r="L33" s="250"/>
      <c r="M33" s="250"/>
      <c r="N33" s="249"/>
      <c r="O33" s="250"/>
    </row>
    <row r="34" spans="1:15" ht="37.5" customHeight="1" x14ac:dyDescent="0.2">
      <c r="A34" s="71"/>
      <c r="B34" s="71"/>
      <c r="D34" s="71"/>
      <c r="E34" s="71"/>
      <c r="F34" s="94"/>
      <c r="G34" s="94"/>
      <c r="H34" s="94"/>
      <c r="I34" s="96"/>
      <c r="J34" s="88">
        <v>3</v>
      </c>
      <c r="K34" s="88">
        <f t="shared" si="15"/>
        <v>300</v>
      </c>
      <c r="L34" s="250"/>
      <c r="M34" s="250"/>
      <c r="N34" s="249"/>
      <c r="O34" s="250"/>
    </row>
    <row r="35" spans="1:15" ht="37.5" customHeight="1" x14ac:dyDescent="0.2">
      <c r="A35" s="71"/>
      <c r="B35" s="71"/>
      <c r="D35" s="71"/>
      <c r="E35" s="71"/>
      <c r="F35" s="94"/>
      <c r="G35" s="94"/>
      <c r="H35" s="94"/>
      <c r="I35" s="96"/>
      <c r="J35" s="91">
        <v>4</v>
      </c>
      <c r="K35" s="92">
        <f t="shared" si="15"/>
        <v>400</v>
      </c>
      <c r="L35" s="250"/>
      <c r="M35" s="250"/>
      <c r="N35" s="249"/>
      <c r="O35" s="250"/>
    </row>
    <row r="36" spans="1:15" ht="37.5" customHeight="1" x14ac:dyDescent="0.2">
      <c r="A36" s="71"/>
      <c r="B36" s="71"/>
      <c r="D36" s="71"/>
      <c r="E36" s="71"/>
      <c r="F36" s="94"/>
      <c r="G36" s="94"/>
      <c r="H36" s="94"/>
      <c r="I36" s="96"/>
      <c r="J36" s="71"/>
    </row>
    <row r="37" spans="1:15" ht="37.5" customHeight="1" x14ac:dyDescent="0.2">
      <c r="A37" s="71"/>
      <c r="B37" s="71"/>
      <c r="D37" s="71"/>
      <c r="E37" s="71"/>
      <c r="F37" s="94"/>
      <c r="G37" s="94"/>
      <c r="H37" s="94"/>
      <c r="I37" s="96"/>
      <c r="J37" s="94"/>
      <c r="K37" s="95"/>
      <c r="L37" s="95"/>
      <c r="M37" s="95"/>
      <c r="N37" s="95"/>
      <c r="O37" s="95"/>
    </row>
    <row r="38" spans="1:15" ht="37.5" customHeight="1" x14ac:dyDescent="0.2">
      <c r="A38" s="71"/>
      <c r="B38" s="71"/>
      <c r="D38" s="71"/>
      <c r="E38" s="71"/>
      <c r="F38" s="94"/>
      <c r="G38" s="94"/>
      <c r="H38" s="94"/>
      <c r="I38" s="96"/>
      <c r="J38" s="94"/>
      <c r="K38" s="95"/>
      <c r="L38" s="95"/>
      <c r="M38" s="95"/>
      <c r="N38" s="95"/>
      <c r="O38" s="95"/>
    </row>
    <row r="39" spans="1:15" ht="37.5" customHeight="1" x14ac:dyDescent="0.2">
      <c r="A39" s="71"/>
      <c r="B39" s="71"/>
      <c r="D39" s="71"/>
      <c r="E39" s="71"/>
      <c r="F39" s="94"/>
      <c r="G39" s="94"/>
      <c r="H39" s="94"/>
      <c r="I39" s="96"/>
      <c r="J39" s="94"/>
      <c r="K39" s="95"/>
      <c r="L39" s="95"/>
      <c r="M39" s="95"/>
      <c r="N39" s="95"/>
      <c r="O39" s="95"/>
    </row>
    <row r="40" spans="1:15" ht="37.5" customHeight="1" x14ac:dyDescent="0.2">
      <c r="A40" s="71"/>
      <c r="B40" s="71"/>
      <c r="D40" s="71"/>
      <c r="E40" s="71"/>
      <c r="F40" s="94"/>
      <c r="G40" s="94"/>
      <c r="H40" s="94"/>
      <c r="I40" s="96"/>
      <c r="J40" s="94"/>
      <c r="K40" s="95"/>
      <c r="L40" s="95"/>
      <c r="M40" s="95"/>
      <c r="N40" s="95"/>
      <c r="O40" s="95"/>
    </row>
    <row r="41" spans="1:15" x14ac:dyDescent="0.2">
      <c r="B41" s="94"/>
      <c r="C41" s="95"/>
      <c r="D41" s="94"/>
      <c r="E41" s="94"/>
      <c r="F41" s="94"/>
      <c r="G41" s="94"/>
      <c r="H41" s="94"/>
      <c r="I41" s="96"/>
    </row>
  </sheetData>
  <mergeCells count="13">
    <mergeCell ref="J30:J31"/>
    <mergeCell ref="J22:J23"/>
    <mergeCell ref="K22:O22"/>
    <mergeCell ref="S4:T4"/>
    <mergeCell ref="U4:W4"/>
    <mergeCell ref="S5:T5"/>
    <mergeCell ref="U5:W5"/>
    <mergeCell ref="K11:O11"/>
    <mergeCell ref="A11:A12"/>
    <mergeCell ref="B11:B12"/>
    <mergeCell ref="C11:C12"/>
    <mergeCell ref="D11:H11"/>
    <mergeCell ref="J11:J12"/>
  </mergeCells>
  <phoneticPr fontId="1"/>
  <pageMargins left="0.7" right="0.7" top="0.75" bottom="0.75" header="0.3" footer="0.3"/>
  <pageSetup paperSize="8"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令和8年度</vt:lpstr>
      <vt:lpstr>給与収入</vt:lpstr>
      <vt:lpstr>年金収入</vt:lpstr>
      <vt:lpstr>早読表</vt:lpstr>
      <vt:lpstr>給与収入!Print_Area</vt:lpstr>
      <vt:lpstr>令和8年度!Print_Area</vt:lpstr>
    </vt:vector>
  </TitlesOfParts>
  <Company>韮崎市役所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雅弥</dc:creator>
  <cp:lastModifiedBy> </cp:lastModifiedBy>
  <cp:lastPrinted>2026-04-01T06:17:21Z</cp:lastPrinted>
  <dcterms:created xsi:type="dcterms:W3CDTF">2016-04-26T05:13:48Z</dcterms:created>
  <dcterms:modified xsi:type="dcterms:W3CDTF">2026-04-01T06:36:46Z</dcterms:modified>
</cp:coreProperties>
</file>